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vittaestonia-my.sharepoint.com/personal/maris_tammets_civitta_ee/Documents/Desktop/Töö/Kood Võru/"/>
    </mc:Choice>
  </mc:AlternateContent>
  <xr:revisionPtr revIDLastSave="377" documentId="8_{7E8689DA-59CD-492F-9F43-FD86E0A4AB55}" xr6:coauthVersionLast="47" xr6:coauthVersionMax="47" xr10:uidLastSave="{96D59231-85C5-48D0-8265-291B02897073}"/>
  <bookViews>
    <workbookView xWindow="28680" yWindow="-120" windowWidth="29040" windowHeight="15720" xr2:uid="{EDFAADDC-F912-41BF-9B1F-4D79CEAF3798}"/>
  </bookViews>
  <sheets>
    <sheet name="Kokkuvõte" sheetId="1" r:id="rId1"/>
    <sheet name="Eeldused" sheetId="2" r:id="rId2"/>
    <sheet name="Eelarve_kool" sheetId="8" r:id="rId3"/>
    <sheet name="Tulud-Kulud" sheetId="3" r:id="rId4"/>
    <sheet name="Tasuvus_kool" sheetId="5" r:id="rId5"/>
    <sheet name="Tasuvus_majutus" sheetId="11" r:id="rId6"/>
    <sheet name="Tasuvus_kokku" sheetId="12" r:id="rId7"/>
    <sheet name="Sots.mõju analüüs" sheetId="6" r:id="rId8"/>
    <sheet name="Makro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2" l="1"/>
  <c r="D34" i="12"/>
  <c r="D32" i="12"/>
  <c r="F16" i="6"/>
  <c r="E16" i="6"/>
  <c r="F15" i="6"/>
  <c r="E14" i="6"/>
  <c r="F24" i="6"/>
  <c r="F20" i="6" s="1"/>
  <c r="E24" i="6"/>
  <c r="E20" i="6" s="1"/>
  <c r="D24" i="6"/>
  <c r="E5" i="8"/>
  <c r="D20" i="6"/>
  <c r="F17" i="12"/>
  <c r="E10" i="12" l="1"/>
  <c r="D10" i="12"/>
  <c r="D20" i="12"/>
  <c r="D15" i="12"/>
  <c r="C15" i="12"/>
  <c r="C14" i="12"/>
  <c r="E6" i="12"/>
  <c r="E20" i="12" s="1"/>
  <c r="F4" i="12"/>
  <c r="F5" i="12"/>
  <c r="F3" i="12"/>
  <c r="C17" i="12"/>
  <c r="C16" i="12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D11" i="5"/>
  <c r="E13" i="3"/>
  <c r="F57" i="11"/>
  <c r="F28" i="11"/>
  <c r="D20" i="5"/>
  <c r="E28" i="11"/>
  <c r="E23" i="11"/>
  <c r="L12" i="11"/>
  <c r="M12" i="11"/>
  <c r="K12" i="11"/>
  <c r="E12" i="11"/>
  <c r="F12" i="11"/>
  <c r="D12" i="11"/>
  <c r="C13" i="12"/>
  <c r="E48" i="2"/>
  <c r="D49" i="2"/>
  <c r="E49" i="2"/>
  <c r="E45" i="2"/>
  <c r="D46" i="2"/>
  <c r="F53" i="11"/>
  <c r="E41" i="2"/>
  <c r="D5" i="2"/>
  <c r="D4" i="2"/>
  <c r="F18" i="3" s="1"/>
  <c r="F17" i="5" s="1"/>
  <c r="B31" i="10"/>
  <c r="B28" i="10"/>
  <c r="D13" i="8"/>
  <c r="E13" i="8"/>
  <c r="F13" i="8"/>
  <c r="C16" i="8"/>
  <c r="F14" i="6"/>
  <c r="G14" i="6"/>
  <c r="C25" i="5"/>
  <c r="E7" i="3"/>
  <c r="D6" i="5"/>
  <c r="C6" i="5"/>
  <c r="D8" i="3"/>
  <c r="E10" i="3"/>
  <c r="D10" i="3"/>
  <c r="E9" i="3"/>
  <c r="E10" i="5" s="1"/>
  <c r="D9" i="3"/>
  <c r="D10" i="5" s="1"/>
  <c r="D24" i="2"/>
  <c r="D16" i="2"/>
  <c r="F5" i="3" s="1"/>
  <c r="D15" i="3"/>
  <c r="E15" i="3" s="1"/>
  <c r="F16" i="3"/>
  <c r="G16" i="3" s="1"/>
  <c r="E17" i="5"/>
  <c r="D18" i="3"/>
  <c r="D17" i="5" s="1"/>
  <c r="F17" i="3"/>
  <c r="F16" i="5" s="1"/>
  <c r="D11" i="3"/>
  <c r="E11" i="3" s="1"/>
  <c r="E12" i="5" s="1"/>
  <c r="E16" i="5"/>
  <c r="D16" i="5"/>
  <c r="E14" i="12" l="1"/>
  <c r="E15" i="12" s="1"/>
  <c r="F13" i="3"/>
  <c r="F16" i="12" s="1"/>
  <c r="F14" i="5"/>
  <c r="E14" i="5"/>
  <c r="G13" i="3"/>
  <c r="D13" i="3"/>
  <c r="E53" i="11"/>
  <c r="F7" i="3"/>
  <c r="F8" i="5" s="1"/>
  <c r="F10" i="3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E8" i="5"/>
  <c r="F9" i="3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X10" i="5" s="1"/>
  <c r="E12" i="3"/>
  <c r="G18" i="3"/>
  <c r="D12" i="5"/>
  <c r="F15" i="3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E14" i="3"/>
  <c r="E15" i="5" s="1"/>
  <c r="D14" i="3"/>
  <c r="D15" i="5" s="1"/>
  <c r="F11" i="3"/>
  <c r="H16" i="3"/>
  <c r="B29" i="10"/>
  <c r="C26" i="12" s="1"/>
  <c r="K10" i="11"/>
  <c r="K13" i="11" s="1"/>
  <c r="K14" i="11" s="1"/>
  <c r="M10" i="11"/>
  <c r="D10" i="11"/>
  <c r="C38" i="11" s="1"/>
  <c r="F10" i="11"/>
  <c r="F13" i="11" s="1"/>
  <c r="F14" i="11" s="1"/>
  <c r="D45" i="2"/>
  <c r="D43" i="2"/>
  <c r="D41" i="2"/>
  <c r="D40" i="2"/>
  <c r="F54" i="11" s="1"/>
  <c r="D39" i="2"/>
  <c r="D38" i="2"/>
  <c r="C21" i="1"/>
  <c r="C27" i="12"/>
  <c r="D8" i="12"/>
  <c r="D13" i="11"/>
  <c r="D14" i="11" s="1"/>
  <c r="E38" i="11"/>
  <c r="E54" i="11"/>
  <c r="E66" i="11"/>
  <c r="J15" i="11"/>
  <c r="M9" i="11"/>
  <c r="K9" i="11"/>
  <c r="J8" i="11"/>
  <c r="L7" i="11"/>
  <c r="J6" i="11"/>
  <c r="L5" i="11"/>
  <c r="L4" i="11"/>
  <c r="M4" i="11" s="1"/>
  <c r="C8" i="8"/>
  <c r="D10" i="8"/>
  <c r="D11" i="8" s="1"/>
  <c r="H14" i="6"/>
  <c r="I14" i="6" s="1"/>
  <c r="J14" i="6" s="1"/>
  <c r="K14" i="6" s="1"/>
  <c r="D59" i="6"/>
  <c r="D7" i="6"/>
  <c r="G17" i="3"/>
  <c r="E4" i="3"/>
  <c r="E8" i="3" s="1"/>
  <c r="G5" i="3"/>
  <c r="F6" i="3"/>
  <c r="G6" i="3" s="1"/>
  <c r="H6" i="3" s="1"/>
  <c r="I6" i="3" s="1"/>
  <c r="J6" i="3" s="1"/>
  <c r="K6" i="3" s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F2" i="3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C47" i="6"/>
  <c r="D47" i="6"/>
  <c r="E47" i="6"/>
  <c r="C59" i="6"/>
  <c r="I6" i="6"/>
  <c r="D8" i="6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G15" i="6"/>
  <c r="H15" i="6" s="1"/>
  <c r="I15" i="6" s="1"/>
  <c r="J15" i="6" s="1"/>
  <c r="K15" i="6" s="1"/>
  <c r="C53" i="6"/>
  <c r="E53" i="6"/>
  <c r="D53" i="6"/>
  <c r="D14" i="5" l="1"/>
  <c r="H13" i="3"/>
  <c r="G16" i="12"/>
  <c r="G14" i="5"/>
  <c r="E13" i="5"/>
  <c r="E18" i="5" s="1"/>
  <c r="E19" i="3"/>
  <c r="G7" i="3"/>
  <c r="G8" i="5" s="1"/>
  <c r="G10" i="5"/>
  <c r="E8" i="12"/>
  <c r="D13" i="12"/>
  <c r="D28" i="6"/>
  <c r="E26" i="6" s="1"/>
  <c r="E59" i="6"/>
  <c r="J7" i="11"/>
  <c r="D14" i="8"/>
  <c r="D15" i="8" s="1"/>
  <c r="J5" i="11"/>
  <c r="J9" i="11" s="1"/>
  <c r="K10" i="5"/>
  <c r="F47" i="6"/>
  <c r="C39" i="6" s="1"/>
  <c r="G16" i="6"/>
  <c r="D9" i="6"/>
  <c r="D10" i="6" s="1"/>
  <c r="D11" i="6"/>
  <c r="J6" i="6"/>
  <c r="M13" i="11"/>
  <c r="E70" i="11" s="1"/>
  <c r="D4" i="12"/>
  <c r="H7" i="3"/>
  <c r="H8" i="5" s="1"/>
  <c r="O10" i="5"/>
  <c r="F12" i="3"/>
  <c r="F13" i="5" s="1"/>
  <c r="W10" i="5"/>
  <c r="N10" i="5"/>
  <c r="T10" i="5"/>
  <c r="S10" i="5"/>
  <c r="L10" i="5"/>
  <c r="J10" i="5"/>
  <c r="V10" i="5"/>
  <c r="H10" i="5"/>
  <c r="R10" i="5"/>
  <c r="M10" i="5"/>
  <c r="P10" i="5"/>
  <c r="F10" i="5"/>
  <c r="U10" i="5"/>
  <c r="I10" i="5"/>
  <c r="Q10" i="5"/>
  <c r="D12" i="3"/>
  <c r="D19" i="3" s="1"/>
  <c r="C66" i="11"/>
  <c r="E7" i="5"/>
  <c r="E6" i="5" s="1"/>
  <c r="F14" i="3"/>
  <c r="H18" i="3"/>
  <c r="G17" i="5"/>
  <c r="G11" i="3"/>
  <c r="F12" i="5"/>
  <c r="G14" i="3"/>
  <c r="G15" i="5" s="1"/>
  <c r="I16" i="3"/>
  <c r="H14" i="3"/>
  <c r="H15" i="5" s="1"/>
  <c r="H17" i="3"/>
  <c r="H16" i="5" s="1"/>
  <c r="G16" i="5"/>
  <c r="G4" i="3"/>
  <c r="G8" i="3" s="1"/>
  <c r="H5" i="3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X4" i="3" s="1"/>
  <c r="F4" i="3"/>
  <c r="F8" i="3" s="1"/>
  <c r="C70" i="11"/>
  <c r="L9" i="11"/>
  <c r="L10" i="11" s="1"/>
  <c r="C4" i="12" s="1"/>
  <c r="J16" i="6"/>
  <c r="D16" i="6"/>
  <c r="L15" i="6"/>
  <c r="M15" i="6" s="1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X15" i="6" s="1"/>
  <c r="Y15" i="6" s="1"/>
  <c r="L14" i="6"/>
  <c r="F53" i="6"/>
  <c r="C36" i="6" s="1"/>
  <c r="I13" i="3" l="1"/>
  <c r="H16" i="12"/>
  <c r="H14" i="5"/>
  <c r="F8" i="12"/>
  <c r="E13" i="12"/>
  <c r="E57" i="11"/>
  <c r="F64" i="11" s="1"/>
  <c r="I7" i="3"/>
  <c r="I8" i="5" s="1"/>
  <c r="G12" i="3"/>
  <c r="H12" i="3" s="1"/>
  <c r="H13" i="5" s="1"/>
  <c r="D17" i="8"/>
  <c r="D12" i="6"/>
  <c r="D17" i="6" s="1"/>
  <c r="H16" i="6"/>
  <c r="K16" i="6"/>
  <c r="I16" i="6"/>
  <c r="K6" i="6"/>
  <c r="M14" i="11"/>
  <c r="F19" i="3"/>
  <c r="F15" i="5"/>
  <c r="U4" i="3"/>
  <c r="U7" i="5" s="1"/>
  <c r="D13" i="5"/>
  <c r="D18" i="5" s="1"/>
  <c r="X7" i="5"/>
  <c r="F7" i="5"/>
  <c r="F6" i="5" s="1"/>
  <c r="F9" i="5" s="1"/>
  <c r="G7" i="5"/>
  <c r="G6" i="5" s="1"/>
  <c r="R4" i="3"/>
  <c r="K4" i="3"/>
  <c r="T4" i="3"/>
  <c r="J10" i="11"/>
  <c r="H11" i="3"/>
  <c r="G12" i="5"/>
  <c r="I18" i="3"/>
  <c r="H17" i="5"/>
  <c r="J16" i="3"/>
  <c r="I14" i="3"/>
  <c r="I15" i="5" s="1"/>
  <c r="W4" i="3"/>
  <c r="J4" i="3"/>
  <c r="M4" i="3"/>
  <c r="H4" i="3"/>
  <c r="H8" i="3" s="1"/>
  <c r="P4" i="3"/>
  <c r="N4" i="3"/>
  <c r="O4" i="3"/>
  <c r="S4" i="3"/>
  <c r="V4" i="3"/>
  <c r="I4" i="3"/>
  <c r="Q4" i="3"/>
  <c r="L4" i="3"/>
  <c r="I17" i="3"/>
  <c r="I16" i="5" s="1"/>
  <c r="G57" i="11"/>
  <c r="H57" i="11" s="1"/>
  <c r="K16" i="11"/>
  <c r="M16" i="11"/>
  <c r="M14" i="6"/>
  <c r="L16" i="6"/>
  <c r="C40" i="6"/>
  <c r="C22" i="6" s="1"/>
  <c r="C23" i="6"/>
  <c r="C35" i="6"/>
  <c r="C38" i="6"/>
  <c r="C37" i="6" s="1"/>
  <c r="C21" i="6" s="1"/>
  <c r="G13" i="5" l="1"/>
  <c r="J13" i="3"/>
  <c r="I14" i="5"/>
  <c r="I16" i="12"/>
  <c r="I12" i="3"/>
  <c r="G19" i="3"/>
  <c r="I8" i="3"/>
  <c r="G8" i="12"/>
  <c r="F13" i="12"/>
  <c r="J7" i="3"/>
  <c r="J8" i="5" s="1"/>
  <c r="E23" i="6"/>
  <c r="D23" i="6"/>
  <c r="E21" i="6"/>
  <c r="D21" i="6"/>
  <c r="E22" i="6"/>
  <c r="D22" i="6"/>
  <c r="L6" i="6"/>
  <c r="J8" i="3"/>
  <c r="C11" i="1"/>
  <c r="I7" i="5"/>
  <c r="I6" i="5" s="1"/>
  <c r="J7" i="5"/>
  <c r="J6" i="5" s="1"/>
  <c r="R7" i="5"/>
  <c r="V7" i="5"/>
  <c r="W7" i="5"/>
  <c r="S7" i="5"/>
  <c r="Q7" i="5"/>
  <c r="M7" i="5"/>
  <c r="K7" i="5"/>
  <c r="P7" i="5"/>
  <c r="O7" i="5"/>
  <c r="N7" i="5"/>
  <c r="L7" i="5"/>
  <c r="H7" i="5"/>
  <c r="H6" i="5" s="1"/>
  <c r="T7" i="5"/>
  <c r="I11" i="3"/>
  <c r="H12" i="5"/>
  <c r="J18" i="3"/>
  <c r="I17" i="5"/>
  <c r="H19" i="3"/>
  <c r="J12" i="3"/>
  <c r="I13" i="5"/>
  <c r="K16" i="3"/>
  <c r="J14" i="3"/>
  <c r="J15" i="5" s="1"/>
  <c r="J17" i="3"/>
  <c r="J16" i="5" s="1"/>
  <c r="I57" i="11"/>
  <c r="J57" i="11" s="1"/>
  <c r="K57" i="11" s="1"/>
  <c r="L13" i="11"/>
  <c r="D70" i="11" s="1"/>
  <c r="D66" i="11"/>
  <c r="N14" i="6"/>
  <c r="M16" i="6"/>
  <c r="C24" i="6"/>
  <c r="C19" i="6"/>
  <c r="K13" i="3" l="1"/>
  <c r="J14" i="5"/>
  <c r="J16" i="12"/>
  <c r="H8" i="12"/>
  <c r="G13" i="12"/>
  <c r="K7" i="3"/>
  <c r="K8" i="5" s="1"/>
  <c r="M6" i="6"/>
  <c r="K6" i="5"/>
  <c r="L7" i="3"/>
  <c r="L8" i="5" s="1"/>
  <c r="L6" i="5" s="1"/>
  <c r="J11" i="3"/>
  <c r="J19" i="3" s="1"/>
  <c r="I12" i="5"/>
  <c r="K18" i="3"/>
  <c r="J17" i="5"/>
  <c r="I19" i="3"/>
  <c r="K12" i="3"/>
  <c r="J13" i="5"/>
  <c r="L16" i="3"/>
  <c r="K14" i="3"/>
  <c r="K15" i="5" s="1"/>
  <c r="K17" i="3"/>
  <c r="K16" i="5" s="1"/>
  <c r="J13" i="11"/>
  <c r="L57" i="11"/>
  <c r="L14" i="11"/>
  <c r="O14" i="6"/>
  <c r="N16" i="6"/>
  <c r="L13" i="3" l="1"/>
  <c r="K14" i="5"/>
  <c r="K16" i="12"/>
  <c r="K8" i="3"/>
  <c r="I8" i="12"/>
  <c r="H13" i="12"/>
  <c r="N6" i="6"/>
  <c r="M7" i="3"/>
  <c r="M8" i="5" s="1"/>
  <c r="M6" i="5" s="1"/>
  <c r="L8" i="3"/>
  <c r="L18" i="3"/>
  <c r="K17" i="5"/>
  <c r="K11" i="3"/>
  <c r="K19" i="3" s="1"/>
  <c r="J12" i="5"/>
  <c r="L12" i="3"/>
  <c r="K13" i="5"/>
  <c r="M16" i="3"/>
  <c r="L14" i="3"/>
  <c r="L15" i="5" s="1"/>
  <c r="L17" i="3"/>
  <c r="L16" i="5" s="1"/>
  <c r="M57" i="11"/>
  <c r="N57" i="11" s="1"/>
  <c r="O57" i="11" s="1"/>
  <c r="P57" i="11" s="1"/>
  <c r="Q57" i="11" s="1"/>
  <c r="R57" i="11" s="1"/>
  <c r="S57" i="11" s="1"/>
  <c r="T57" i="11" s="1"/>
  <c r="U57" i="11" s="1"/>
  <c r="V57" i="11" s="1"/>
  <c r="W57" i="11" s="1"/>
  <c r="X57" i="11" s="1"/>
  <c r="J14" i="11"/>
  <c r="J16" i="11" s="1"/>
  <c r="L16" i="11"/>
  <c r="P14" i="6"/>
  <c r="O16" i="6"/>
  <c r="M13" i="3" l="1"/>
  <c r="L16" i="12"/>
  <c r="L14" i="5"/>
  <c r="J8" i="12"/>
  <c r="I13" i="12"/>
  <c r="O6" i="6"/>
  <c r="N7" i="3"/>
  <c r="N8" i="5" s="1"/>
  <c r="N6" i="5" s="1"/>
  <c r="M8" i="3"/>
  <c r="L11" i="3"/>
  <c r="L19" i="3" s="1"/>
  <c r="K12" i="5"/>
  <c r="M18" i="3"/>
  <c r="L17" i="5"/>
  <c r="M12" i="3"/>
  <c r="L13" i="5"/>
  <c r="N16" i="3"/>
  <c r="M14" i="3"/>
  <c r="M15" i="5" s="1"/>
  <c r="M17" i="3"/>
  <c r="M16" i="5" s="1"/>
  <c r="Q14" i="6"/>
  <c r="P16" i="6"/>
  <c r="N13" i="3" l="1"/>
  <c r="M16" i="12"/>
  <c r="M14" i="5"/>
  <c r="K8" i="12"/>
  <c r="J13" i="12"/>
  <c r="P6" i="6"/>
  <c r="N8" i="3"/>
  <c r="O7" i="3"/>
  <c r="O8" i="5" s="1"/>
  <c r="O6" i="5" s="1"/>
  <c r="N18" i="3"/>
  <c r="M17" i="5"/>
  <c r="M11" i="3"/>
  <c r="L12" i="5"/>
  <c r="N12" i="3"/>
  <c r="M13" i="5"/>
  <c r="O16" i="3"/>
  <c r="N14" i="3"/>
  <c r="N15" i="5" s="1"/>
  <c r="N17" i="3"/>
  <c r="N16" i="5" s="1"/>
  <c r="R14" i="6"/>
  <c r="Q16" i="6"/>
  <c r="O13" i="3" l="1"/>
  <c r="N16" i="12"/>
  <c r="N14" i="5"/>
  <c r="L8" i="12"/>
  <c r="K13" i="12"/>
  <c r="Q6" i="6"/>
  <c r="O8" i="3"/>
  <c r="P7" i="3"/>
  <c r="P8" i="5" s="1"/>
  <c r="P6" i="5" s="1"/>
  <c r="N11" i="3"/>
  <c r="M12" i="5"/>
  <c r="M19" i="3"/>
  <c r="O18" i="3"/>
  <c r="N17" i="5"/>
  <c r="O12" i="3"/>
  <c r="N13" i="5"/>
  <c r="P16" i="3"/>
  <c r="O14" i="3"/>
  <c r="O15" i="5" s="1"/>
  <c r="O17" i="3"/>
  <c r="O16" i="5" s="1"/>
  <c r="S14" i="6"/>
  <c r="R16" i="6"/>
  <c r="P13" i="3" l="1"/>
  <c r="O16" i="12"/>
  <c r="O14" i="5"/>
  <c r="M8" i="12"/>
  <c r="L13" i="12"/>
  <c r="R6" i="6"/>
  <c r="Q7" i="3"/>
  <c r="Q8" i="5" s="1"/>
  <c r="Q6" i="5" s="1"/>
  <c r="P8" i="3"/>
  <c r="O11" i="3"/>
  <c r="O19" i="3" s="1"/>
  <c r="N12" i="5"/>
  <c r="N19" i="3"/>
  <c r="P18" i="3"/>
  <c r="O17" i="5"/>
  <c r="P17" i="3"/>
  <c r="P16" i="5" s="1"/>
  <c r="P12" i="3"/>
  <c r="O13" i="5"/>
  <c r="Q16" i="3"/>
  <c r="P14" i="3"/>
  <c r="P15" i="5" s="1"/>
  <c r="T14" i="6"/>
  <c r="S16" i="6"/>
  <c r="Q13" i="3" l="1"/>
  <c r="P16" i="12"/>
  <c r="P14" i="5"/>
  <c r="N8" i="12"/>
  <c r="M13" i="12"/>
  <c r="S6" i="6"/>
  <c r="R7" i="3"/>
  <c r="R8" i="5" s="1"/>
  <c r="R6" i="5" s="1"/>
  <c r="Q8" i="3"/>
  <c r="Q17" i="3"/>
  <c r="Q16" i="5" s="1"/>
  <c r="Q18" i="3"/>
  <c r="P17" i="5"/>
  <c r="P11" i="3"/>
  <c r="P19" i="3" s="1"/>
  <c r="O12" i="5"/>
  <c r="Q12" i="3"/>
  <c r="P13" i="5"/>
  <c r="R16" i="3"/>
  <c r="Q14" i="3"/>
  <c r="Q15" i="5" s="1"/>
  <c r="U14" i="6"/>
  <c r="T16" i="6"/>
  <c r="R13" i="3" l="1"/>
  <c r="Q14" i="5"/>
  <c r="Q16" i="12"/>
  <c r="O8" i="12"/>
  <c r="N13" i="12"/>
  <c r="T6" i="6"/>
  <c r="S7" i="3"/>
  <c r="S8" i="5" s="1"/>
  <c r="S6" i="5" s="1"/>
  <c r="R8" i="3"/>
  <c r="R18" i="3"/>
  <c r="Q17" i="5"/>
  <c r="Q11" i="3"/>
  <c r="Q19" i="3" s="1"/>
  <c r="P12" i="5"/>
  <c r="R17" i="3"/>
  <c r="R16" i="5" s="1"/>
  <c r="R12" i="3"/>
  <c r="Q13" i="5"/>
  <c r="S16" i="3"/>
  <c r="R14" i="3"/>
  <c r="R15" i="5" s="1"/>
  <c r="V14" i="6"/>
  <c r="U16" i="6"/>
  <c r="S13" i="3" l="1"/>
  <c r="R14" i="5"/>
  <c r="R16" i="12"/>
  <c r="P8" i="12"/>
  <c r="O13" i="12"/>
  <c r="U6" i="6"/>
  <c r="T7" i="3"/>
  <c r="T8" i="5" s="1"/>
  <c r="T6" i="5" s="1"/>
  <c r="S8" i="3"/>
  <c r="S17" i="3"/>
  <c r="S16" i="5" s="1"/>
  <c r="R11" i="3"/>
  <c r="R19" i="3" s="1"/>
  <c r="Q12" i="5"/>
  <c r="S18" i="3"/>
  <c r="R17" i="5"/>
  <c r="S12" i="3"/>
  <c r="R13" i="5"/>
  <c r="T16" i="3"/>
  <c r="S14" i="3"/>
  <c r="S15" i="5" s="1"/>
  <c r="W14" i="6"/>
  <c r="V16" i="6"/>
  <c r="T13" i="3" l="1"/>
  <c r="S14" i="5"/>
  <c r="S16" i="12"/>
  <c r="Q8" i="12"/>
  <c r="P13" i="12"/>
  <c r="V6" i="6"/>
  <c r="T8" i="3"/>
  <c r="U7" i="3"/>
  <c r="U8" i="5" s="1"/>
  <c r="U6" i="5" s="1"/>
  <c r="T17" i="3"/>
  <c r="T16" i="5" s="1"/>
  <c r="T18" i="3"/>
  <c r="S17" i="5"/>
  <c r="S11" i="3"/>
  <c r="S19" i="3" s="1"/>
  <c r="R12" i="5"/>
  <c r="T12" i="3"/>
  <c r="S13" i="5"/>
  <c r="U16" i="3"/>
  <c r="T14" i="3"/>
  <c r="T15" i="5" s="1"/>
  <c r="X14" i="6"/>
  <c r="W16" i="6"/>
  <c r="U13" i="3" l="1"/>
  <c r="T16" i="12"/>
  <c r="T14" i="5"/>
  <c r="R8" i="12"/>
  <c r="Q13" i="12"/>
  <c r="W6" i="6"/>
  <c r="U8" i="3"/>
  <c r="V7" i="3"/>
  <c r="V8" i="5" s="1"/>
  <c r="V6" i="5" s="1"/>
  <c r="U17" i="3"/>
  <c r="U16" i="5" s="1"/>
  <c r="T11" i="3"/>
  <c r="T19" i="3" s="1"/>
  <c r="S12" i="5"/>
  <c r="U18" i="3"/>
  <c r="T17" i="5"/>
  <c r="U12" i="3"/>
  <c r="T13" i="5"/>
  <c r="V16" i="3"/>
  <c r="U14" i="3"/>
  <c r="U15" i="5" s="1"/>
  <c r="Y14" i="6"/>
  <c r="Y16" i="6" s="1"/>
  <c r="X16" i="6"/>
  <c r="V13" i="3" l="1"/>
  <c r="U16" i="12"/>
  <c r="U14" i="5"/>
  <c r="S8" i="12"/>
  <c r="R13" i="12"/>
  <c r="X6" i="6"/>
  <c r="W7" i="3"/>
  <c r="W8" i="5" s="1"/>
  <c r="W6" i="5" s="1"/>
  <c r="V8" i="3"/>
  <c r="V17" i="3"/>
  <c r="V16" i="5" s="1"/>
  <c r="V18" i="3"/>
  <c r="U17" i="5"/>
  <c r="U11" i="3"/>
  <c r="U19" i="3" s="1"/>
  <c r="T12" i="5"/>
  <c r="V12" i="3"/>
  <c r="U13" i="5"/>
  <c r="W16" i="3"/>
  <c r="V14" i="3"/>
  <c r="V15" i="5" s="1"/>
  <c r="W13" i="3" l="1"/>
  <c r="V16" i="12"/>
  <c r="V14" i="5"/>
  <c r="T8" i="12"/>
  <c r="S13" i="12"/>
  <c r="Y6" i="6"/>
  <c r="X7" i="3"/>
  <c r="W8" i="3"/>
  <c r="W17" i="3"/>
  <c r="W16" i="5" s="1"/>
  <c r="V11" i="3"/>
  <c r="V19" i="3" s="1"/>
  <c r="U12" i="5"/>
  <c r="W18" i="3"/>
  <c r="V17" i="5"/>
  <c r="W12" i="3"/>
  <c r="V13" i="5"/>
  <c r="X16" i="3"/>
  <c r="X14" i="3" s="1"/>
  <c r="X15" i="5" s="1"/>
  <c r="W14" i="3"/>
  <c r="W15" i="5" s="1"/>
  <c r="X13" i="3" l="1"/>
  <c r="W16" i="12"/>
  <c r="W14" i="5"/>
  <c r="U8" i="12"/>
  <c r="T13" i="12"/>
  <c r="X8" i="3"/>
  <c r="X8" i="5"/>
  <c r="X6" i="5" s="1"/>
  <c r="X17" i="3"/>
  <c r="X16" i="5" s="1"/>
  <c r="X18" i="3"/>
  <c r="X17" i="5" s="1"/>
  <c r="W17" i="5"/>
  <c r="W11" i="3"/>
  <c r="W19" i="3" s="1"/>
  <c r="V12" i="5"/>
  <c r="X12" i="3"/>
  <c r="X19" i="3" s="1"/>
  <c r="W13" i="5"/>
  <c r="X16" i="12" l="1"/>
  <c r="X14" i="5"/>
  <c r="V8" i="12"/>
  <c r="U13" i="12"/>
  <c r="X11" i="3"/>
  <c r="X12" i="5" s="1"/>
  <c r="W12" i="5"/>
  <c r="X13" i="5"/>
  <c r="X18" i="5" l="1"/>
  <c r="W8" i="12"/>
  <c r="V13" i="12"/>
  <c r="X8" i="12" l="1"/>
  <c r="W13" i="12"/>
  <c r="C28" i="12" l="1"/>
  <c r="C29" i="12" s="1"/>
  <c r="X13" i="12"/>
  <c r="C18" i="5" l="1"/>
  <c r="E22" i="11"/>
  <c r="D37" i="2"/>
  <c r="F6" i="8"/>
  <c r="F9" i="8"/>
  <c r="F82" i="11"/>
  <c r="G82" i="11" s="1"/>
  <c r="H82" i="11" s="1"/>
  <c r="F21" i="11"/>
  <c r="G21" i="11" s="1"/>
  <c r="H21" i="11" s="1"/>
  <c r="E21" i="11"/>
  <c r="E6" i="11"/>
  <c r="E7" i="11" s="1"/>
  <c r="C7" i="11" s="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D92" i="11"/>
  <c r="C92" i="11"/>
  <c r="C94" i="11" s="1"/>
  <c r="C101" i="11" s="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D36" i="11"/>
  <c r="D37" i="11" s="1"/>
  <c r="C36" i="11"/>
  <c r="D35" i="11"/>
  <c r="C35" i="11"/>
  <c r="C37" i="11" s="1"/>
  <c r="C19" i="11"/>
  <c r="C15" i="11"/>
  <c r="F9" i="11"/>
  <c r="E39" i="11" s="1"/>
  <c r="D9" i="11"/>
  <c r="E8" i="11"/>
  <c r="C8" i="11"/>
  <c r="E4" i="11"/>
  <c r="F4" i="11" s="1"/>
  <c r="F22" i="11" l="1"/>
  <c r="G22" i="11" s="1"/>
  <c r="H22" i="11" s="1"/>
  <c r="I22" i="11" s="1"/>
  <c r="J22" i="11" s="1"/>
  <c r="K22" i="11" s="1"/>
  <c r="L22" i="11" s="1"/>
  <c r="M22" i="11" s="1"/>
  <c r="N22" i="11" s="1"/>
  <c r="O22" i="11" s="1"/>
  <c r="P22" i="11" s="1"/>
  <c r="Q22" i="11" s="1"/>
  <c r="R22" i="11" s="1"/>
  <c r="S22" i="11" s="1"/>
  <c r="T22" i="11" s="1"/>
  <c r="U22" i="11" s="1"/>
  <c r="V22" i="11" s="1"/>
  <c r="W22" i="11" s="1"/>
  <c r="X22" i="11" s="1"/>
  <c r="C5" i="8"/>
  <c r="C9" i="8"/>
  <c r="C6" i="8"/>
  <c r="C10" i="12"/>
  <c r="F83" i="11"/>
  <c r="E83" i="11"/>
  <c r="G54" i="11"/>
  <c r="H54" i="11" s="1"/>
  <c r="I54" i="11" s="1"/>
  <c r="J54" i="11" s="1"/>
  <c r="K54" i="11" s="1"/>
  <c r="L54" i="11" s="1"/>
  <c r="M54" i="11" s="1"/>
  <c r="N54" i="11" s="1"/>
  <c r="O54" i="11" s="1"/>
  <c r="P54" i="11" s="1"/>
  <c r="Q54" i="11" s="1"/>
  <c r="R54" i="11" s="1"/>
  <c r="S54" i="11" s="1"/>
  <c r="T54" i="11" s="1"/>
  <c r="U54" i="11" s="1"/>
  <c r="V54" i="11" s="1"/>
  <c r="W54" i="11" s="1"/>
  <c r="X54" i="11" s="1"/>
  <c r="E25" i="11"/>
  <c r="F7" i="8"/>
  <c r="D94" i="11"/>
  <c r="G18" i="5"/>
  <c r="F25" i="11"/>
  <c r="G25" i="11" s="1"/>
  <c r="H25" i="11" s="1"/>
  <c r="I25" i="11" s="1"/>
  <c r="J25" i="11" s="1"/>
  <c r="K25" i="11" s="1"/>
  <c r="L25" i="11" s="1"/>
  <c r="M25" i="11" s="1"/>
  <c r="N25" i="11" s="1"/>
  <c r="O25" i="11" s="1"/>
  <c r="P25" i="11" s="1"/>
  <c r="Q25" i="11" s="1"/>
  <c r="R25" i="11" s="1"/>
  <c r="S25" i="11" s="1"/>
  <c r="T25" i="11" s="1"/>
  <c r="U25" i="11" s="1"/>
  <c r="V25" i="11" s="1"/>
  <c r="W25" i="11" s="1"/>
  <c r="X25" i="11" s="1"/>
  <c r="C6" i="11"/>
  <c r="C80" i="11"/>
  <c r="C91" i="11" s="1"/>
  <c r="C34" i="11"/>
  <c r="C51" i="11"/>
  <c r="D19" i="11"/>
  <c r="D16" i="11"/>
  <c r="I21" i="11"/>
  <c r="I82" i="11"/>
  <c r="C103" i="11"/>
  <c r="E5" i="11"/>
  <c r="C67" i="11"/>
  <c r="C39" i="11"/>
  <c r="E67" i="11"/>
  <c r="D101" i="11"/>
  <c r="C71" i="11"/>
  <c r="C43" i="11"/>
  <c r="E82" i="11"/>
  <c r="D19" i="6" l="1"/>
  <c r="C21" i="12"/>
  <c r="F23" i="11"/>
  <c r="G23" i="11"/>
  <c r="H23" i="11"/>
  <c r="C7" i="8"/>
  <c r="E84" i="11"/>
  <c r="G10" i="12"/>
  <c r="C44" i="11"/>
  <c r="C46" i="11" s="1"/>
  <c r="C72" i="11"/>
  <c r="C74" i="11" s="1"/>
  <c r="F18" i="5"/>
  <c r="H18" i="5"/>
  <c r="C5" i="11"/>
  <c r="E9" i="11"/>
  <c r="E10" i="11" s="1"/>
  <c r="D80" i="11"/>
  <c r="D91" i="11" s="1"/>
  <c r="D34" i="11"/>
  <c r="E19" i="11"/>
  <c r="E43" i="11"/>
  <c r="F16" i="11"/>
  <c r="E71" i="11"/>
  <c r="I23" i="11"/>
  <c r="J21" i="11"/>
  <c r="J82" i="11"/>
  <c r="C62" i="11"/>
  <c r="D51" i="11"/>
  <c r="H19" i="6" l="1"/>
  <c r="G21" i="12"/>
  <c r="G22" i="12" s="1"/>
  <c r="E19" i="6"/>
  <c r="D21" i="12"/>
  <c r="F19" i="6"/>
  <c r="E21" i="12"/>
  <c r="E22" i="12" s="1"/>
  <c r="D38" i="11"/>
  <c r="D39" i="11" s="1"/>
  <c r="E13" i="11"/>
  <c r="F10" i="12"/>
  <c r="H10" i="12"/>
  <c r="I18" i="5"/>
  <c r="D67" i="11"/>
  <c r="K21" i="11"/>
  <c r="J23" i="11"/>
  <c r="D62" i="11"/>
  <c r="E51" i="11"/>
  <c r="K82" i="11"/>
  <c r="C9" i="11"/>
  <c r="C10" i="11" s="1"/>
  <c r="E80" i="11"/>
  <c r="E91" i="11" s="1"/>
  <c r="F19" i="11"/>
  <c r="E34" i="11"/>
  <c r="I19" i="6" l="1"/>
  <c r="H21" i="12"/>
  <c r="H22" i="12" s="1"/>
  <c r="G19" i="6"/>
  <c r="F21" i="12"/>
  <c r="F22" i="12" s="1"/>
  <c r="E14" i="11"/>
  <c r="D42" i="11" s="1"/>
  <c r="D43" i="11" s="1"/>
  <c r="D44" i="11" s="1"/>
  <c r="I10" i="12"/>
  <c r="C14" i="11"/>
  <c r="C10" i="1"/>
  <c r="J18" i="5"/>
  <c r="G28" i="11"/>
  <c r="K23" i="11"/>
  <c r="L21" i="11"/>
  <c r="E64" i="11"/>
  <c r="E62" i="11"/>
  <c r="F51" i="11"/>
  <c r="E36" i="11"/>
  <c r="E16" i="11"/>
  <c r="D71" i="11"/>
  <c r="D72" i="11" s="1"/>
  <c r="C13" i="11"/>
  <c r="F80" i="11"/>
  <c r="F91" i="11" s="1"/>
  <c r="G19" i="11"/>
  <c r="F34" i="11"/>
  <c r="L82" i="11"/>
  <c r="J19" i="6" l="1"/>
  <c r="I21" i="12"/>
  <c r="I22" i="12" s="1"/>
  <c r="C16" i="11"/>
  <c r="J10" i="12"/>
  <c r="K18" i="5"/>
  <c r="H28" i="11"/>
  <c r="I28" i="11" s="1"/>
  <c r="F36" i="11"/>
  <c r="M82" i="11"/>
  <c r="F62" i="11"/>
  <c r="G51" i="11"/>
  <c r="H19" i="11"/>
  <c r="G34" i="11"/>
  <c r="G80" i="11"/>
  <c r="G91" i="11" s="1"/>
  <c r="M21" i="11"/>
  <c r="L23" i="11"/>
  <c r="K19" i="6" l="1"/>
  <c r="J21" i="12"/>
  <c r="J22" i="12" s="1"/>
  <c r="K10" i="12"/>
  <c r="L18" i="5"/>
  <c r="J28" i="11"/>
  <c r="N82" i="11"/>
  <c r="G64" i="11"/>
  <c r="N21" i="11"/>
  <c r="M23" i="11"/>
  <c r="H51" i="11"/>
  <c r="G62" i="11"/>
  <c r="I19" i="11"/>
  <c r="H34" i="11"/>
  <c r="H80" i="11"/>
  <c r="H91" i="11" s="1"/>
  <c r="G36" i="11"/>
  <c r="L19" i="6" l="1"/>
  <c r="K21" i="12"/>
  <c r="K22" i="12" s="1"/>
  <c r="L10" i="12"/>
  <c r="K28" i="11"/>
  <c r="L28" i="11" s="1"/>
  <c r="M28" i="11" s="1"/>
  <c r="M18" i="5"/>
  <c r="I80" i="11"/>
  <c r="I91" i="11" s="1"/>
  <c r="J19" i="11"/>
  <c r="I34" i="11"/>
  <c r="H36" i="11"/>
  <c r="I36" i="11"/>
  <c r="I51" i="11"/>
  <c r="H62" i="11"/>
  <c r="J36" i="11"/>
  <c r="I64" i="11"/>
  <c r="N23" i="11"/>
  <c r="O21" i="11"/>
  <c r="O82" i="11"/>
  <c r="H64" i="11"/>
  <c r="M19" i="6" l="1"/>
  <c r="L21" i="12"/>
  <c r="L22" i="12" s="1"/>
  <c r="M10" i="12"/>
  <c r="N18" i="5"/>
  <c r="N28" i="11"/>
  <c r="I62" i="11"/>
  <c r="J51" i="11"/>
  <c r="J80" i="11"/>
  <c r="J91" i="11" s="1"/>
  <c r="J34" i="11"/>
  <c r="K19" i="11"/>
  <c r="P82" i="11"/>
  <c r="P21" i="11"/>
  <c r="O23" i="11"/>
  <c r="K36" i="11"/>
  <c r="J64" i="11"/>
  <c r="K64" i="11"/>
  <c r="N19" i="6" l="1"/>
  <c r="M21" i="12"/>
  <c r="M22" i="12" s="1"/>
  <c r="N10" i="12"/>
  <c r="O18" i="5"/>
  <c r="O28" i="11"/>
  <c r="M36" i="11"/>
  <c r="Q21" i="11"/>
  <c r="P23" i="11"/>
  <c r="J62" i="11"/>
  <c r="K51" i="11"/>
  <c r="K80" i="11"/>
  <c r="K91" i="11" s="1"/>
  <c r="K34" i="11"/>
  <c r="L19" i="11"/>
  <c r="L36" i="11"/>
  <c r="N64" i="11"/>
  <c r="L64" i="11"/>
  <c r="Q82" i="11"/>
  <c r="O19" i="6" l="1"/>
  <c r="N21" i="12"/>
  <c r="N22" i="12" s="1"/>
  <c r="O10" i="12"/>
  <c r="P18" i="5"/>
  <c r="P28" i="11"/>
  <c r="L80" i="11"/>
  <c r="L91" i="11" s="1"/>
  <c r="L34" i="11"/>
  <c r="M19" i="11"/>
  <c r="Q23" i="11"/>
  <c r="R21" i="11"/>
  <c r="M64" i="11"/>
  <c r="R82" i="11"/>
  <c r="N36" i="11"/>
  <c r="O64" i="11"/>
  <c r="K62" i="11"/>
  <c r="L51" i="11"/>
  <c r="P19" i="6" l="1"/>
  <c r="O21" i="12"/>
  <c r="O22" i="12" s="1"/>
  <c r="P10" i="12"/>
  <c r="Q18" i="5"/>
  <c r="Q28" i="11"/>
  <c r="O36" i="11"/>
  <c r="P64" i="11"/>
  <c r="M80" i="11"/>
  <c r="M91" i="11" s="1"/>
  <c r="N19" i="11"/>
  <c r="M34" i="11"/>
  <c r="S21" i="11"/>
  <c r="R23" i="11"/>
  <c r="S82" i="11"/>
  <c r="L62" i="11"/>
  <c r="M51" i="11"/>
  <c r="Q19" i="6" l="1"/>
  <c r="P21" i="12"/>
  <c r="P22" i="12" s="1"/>
  <c r="Q10" i="12"/>
  <c r="R18" i="5"/>
  <c r="R28" i="11"/>
  <c r="S28" i="11" s="1"/>
  <c r="P36" i="11"/>
  <c r="Q64" i="11"/>
  <c r="T21" i="11"/>
  <c r="S23" i="11"/>
  <c r="N80" i="11"/>
  <c r="N91" i="11" s="1"/>
  <c r="O19" i="11"/>
  <c r="N34" i="11"/>
  <c r="T82" i="11"/>
  <c r="M62" i="11"/>
  <c r="N51" i="11"/>
  <c r="R19" i="6" l="1"/>
  <c r="Q21" i="12"/>
  <c r="Q22" i="12" s="1"/>
  <c r="R10" i="12"/>
  <c r="S18" i="5"/>
  <c r="T28" i="11"/>
  <c r="N62" i="11"/>
  <c r="O51" i="11"/>
  <c r="P19" i="11"/>
  <c r="O34" i="11"/>
  <c r="O80" i="11"/>
  <c r="O91" i="11" s="1"/>
  <c r="U21" i="11"/>
  <c r="T23" i="11"/>
  <c r="Q36" i="11"/>
  <c r="R64" i="11"/>
  <c r="U82" i="11"/>
  <c r="S19" i="6" l="1"/>
  <c r="R21" i="12"/>
  <c r="R22" i="12" s="1"/>
  <c r="S10" i="12"/>
  <c r="T18" i="5"/>
  <c r="U28" i="11"/>
  <c r="V82" i="11"/>
  <c r="P51" i="11"/>
  <c r="O62" i="11"/>
  <c r="V21" i="11"/>
  <c r="U23" i="11"/>
  <c r="P80" i="11"/>
  <c r="P91" i="11" s="1"/>
  <c r="Q19" i="11"/>
  <c r="P34" i="11"/>
  <c r="R36" i="11"/>
  <c r="S64" i="11"/>
  <c r="T19" i="6" l="1"/>
  <c r="S21" i="12"/>
  <c r="S22" i="12" s="1"/>
  <c r="T10" i="12"/>
  <c r="U18" i="5"/>
  <c r="V28" i="11"/>
  <c r="V23" i="11"/>
  <c r="W21" i="11"/>
  <c r="P62" i="11"/>
  <c r="Q51" i="11"/>
  <c r="S36" i="11"/>
  <c r="T64" i="11"/>
  <c r="Q80" i="11"/>
  <c r="Q91" i="11" s="1"/>
  <c r="R19" i="11"/>
  <c r="Q34" i="11"/>
  <c r="W82" i="11"/>
  <c r="U19" i="6" l="1"/>
  <c r="T21" i="12"/>
  <c r="T22" i="12" s="1"/>
  <c r="U10" i="12"/>
  <c r="V18" i="5"/>
  <c r="W28" i="11"/>
  <c r="T36" i="11"/>
  <c r="U64" i="11"/>
  <c r="R80" i="11"/>
  <c r="R91" i="11" s="1"/>
  <c r="R34" i="11"/>
  <c r="S19" i="11"/>
  <c r="Q62" i="11"/>
  <c r="R51" i="11"/>
  <c r="X21" i="11"/>
  <c r="X23" i="11" s="1"/>
  <c r="W23" i="11"/>
  <c r="X82" i="11"/>
  <c r="V19" i="6" l="1"/>
  <c r="U21" i="12"/>
  <c r="U22" i="12" s="1"/>
  <c r="V10" i="12"/>
  <c r="W18" i="5"/>
  <c r="X28" i="11"/>
  <c r="R62" i="11"/>
  <c r="S51" i="11"/>
  <c r="U36" i="11"/>
  <c r="V64" i="11"/>
  <c r="S80" i="11"/>
  <c r="S91" i="11" s="1"/>
  <c r="S34" i="11"/>
  <c r="T19" i="11"/>
  <c r="W19" i="6" l="1"/>
  <c r="V21" i="12"/>
  <c r="V22" i="12" s="1"/>
  <c r="W10" i="12"/>
  <c r="W21" i="12" s="1"/>
  <c r="W22" i="12" s="1"/>
  <c r="T80" i="11"/>
  <c r="T91" i="11" s="1"/>
  <c r="T34" i="11"/>
  <c r="U19" i="11"/>
  <c r="S62" i="11"/>
  <c r="T51" i="11"/>
  <c r="V36" i="11"/>
  <c r="W64" i="11"/>
  <c r="X19" i="6" l="1"/>
  <c r="X10" i="12"/>
  <c r="U80" i="11"/>
  <c r="U91" i="11" s="1"/>
  <c r="V19" i="11"/>
  <c r="U34" i="11"/>
  <c r="W36" i="11"/>
  <c r="T62" i="11"/>
  <c r="U51" i="11"/>
  <c r="Y19" i="6" l="1"/>
  <c r="X21" i="12"/>
  <c r="X22" i="12" s="1"/>
  <c r="X64" i="11"/>
  <c r="U62" i="11"/>
  <c r="V51" i="11"/>
  <c r="V80" i="11"/>
  <c r="V91" i="11" s="1"/>
  <c r="W19" i="11"/>
  <c r="V34" i="11"/>
  <c r="X36" i="11"/>
  <c r="W34" i="11" l="1"/>
  <c r="W80" i="11"/>
  <c r="W91" i="11" s="1"/>
  <c r="X19" i="11"/>
  <c r="V62" i="11"/>
  <c r="W51" i="11"/>
  <c r="X51" i="11" l="1"/>
  <c r="X62" i="11" s="1"/>
  <c r="W62" i="11"/>
  <c r="X80" i="11"/>
  <c r="X91" i="11" s="1"/>
  <c r="X34" i="11"/>
  <c r="D8" i="2" l="1"/>
  <c r="E85" i="11" l="1"/>
  <c r="E87" i="11" s="1"/>
  <c r="C75" i="11"/>
  <c r="C104" i="11"/>
  <c r="C47" i="11"/>
  <c r="E47" i="2"/>
  <c r="E43" i="2"/>
  <c r="F26" i="6"/>
  <c r="G26" i="6" s="1"/>
  <c r="H26" i="6" s="1"/>
  <c r="I26" i="6" s="1"/>
  <c r="J26" i="6" s="1"/>
  <c r="K26" i="6" s="1"/>
  <c r="L26" i="6" s="1"/>
  <c r="M26" i="6" s="1"/>
  <c r="N26" i="6" s="1"/>
  <c r="O26" i="6" s="1"/>
  <c r="P26" i="6" s="1"/>
  <c r="Q26" i="6" s="1"/>
  <c r="R26" i="6" s="1"/>
  <c r="S26" i="6" s="1"/>
  <c r="T26" i="6" s="1"/>
  <c r="U26" i="6" s="1"/>
  <c r="V26" i="6" s="1"/>
  <c r="W26" i="6" s="1"/>
  <c r="X26" i="6" s="1"/>
  <c r="Y26" i="6" s="1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F30" i="5"/>
  <c r="C27" i="5"/>
  <c r="C38" i="5"/>
  <c r="E10" i="8"/>
  <c r="E11" i="8" s="1"/>
  <c r="F10" i="8"/>
  <c r="F11" i="8" s="1"/>
  <c r="F14" i="8" l="1"/>
  <c r="F15" i="8" s="1"/>
  <c r="C3" i="12"/>
  <c r="C6" i="12" s="1"/>
  <c r="E14" i="8"/>
  <c r="E15" i="8" s="1"/>
  <c r="C15" i="8" s="1"/>
  <c r="D29" i="5"/>
  <c r="D30" i="5" s="1"/>
  <c r="D3" i="12"/>
  <c r="D6" i="12" s="1"/>
  <c r="C29" i="5"/>
  <c r="C30" i="5" s="1"/>
  <c r="D36" i="5"/>
  <c r="E36" i="5" s="1"/>
  <c r="F36" i="5" s="1"/>
  <c r="G36" i="5" s="1"/>
  <c r="H36" i="5" s="1"/>
  <c r="I36" i="5" s="1"/>
  <c r="J36" i="5" s="1"/>
  <c r="K36" i="5" s="1"/>
  <c r="L36" i="5" s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E29" i="5"/>
  <c r="E30" i="5" s="1"/>
  <c r="E45" i="11"/>
  <c r="F45" i="11" s="1"/>
  <c r="G45" i="11" s="1"/>
  <c r="H45" i="11" s="1"/>
  <c r="I45" i="11" s="1"/>
  <c r="J45" i="11" s="1"/>
  <c r="K45" i="11" s="1"/>
  <c r="L45" i="11" s="1"/>
  <c r="M45" i="11" s="1"/>
  <c r="N45" i="11" s="1"/>
  <c r="O45" i="11" s="1"/>
  <c r="P45" i="11" s="1"/>
  <c r="Q45" i="11" s="1"/>
  <c r="R45" i="11" s="1"/>
  <c r="S45" i="11" s="1"/>
  <c r="T45" i="11" s="1"/>
  <c r="U45" i="11" s="1"/>
  <c r="V45" i="11" s="1"/>
  <c r="W45" i="11" s="1"/>
  <c r="X45" i="11" s="1"/>
  <c r="D46" i="11"/>
  <c r="E102" i="11"/>
  <c r="F102" i="11" s="1"/>
  <c r="G102" i="11" s="1"/>
  <c r="H102" i="11" s="1"/>
  <c r="I102" i="11" s="1"/>
  <c r="J102" i="11" s="1"/>
  <c r="K102" i="11" s="1"/>
  <c r="L102" i="11" s="1"/>
  <c r="M102" i="11" s="1"/>
  <c r="N102" i="11" s="1"/>
  <c r="O102" i="11" s="1"/>
  <c r="P102" i="11" s="1"/>
  <c r="Q102" i="11" s="1"/>
  <c r="R102" i="11" s="1"/>
  <c r="S102" i="11" s="1"/>
  <c r="T102" i="11" s="1"/>
  <c r="U102" i="11" s="1"/>
  <c r="V102" i="11" s="1"/>
  <c r="W102" i="11" s="1"/>
  <c r="X102" i="11" s="1"/>
  <c r="D103" i="11"/>
  <c r="E73" i="11"/>
  <c r="F73" i="11" s="1"/>
  <c r="G73" i="11" s="1"/>
  <c r="H73" i="11" s="1"/>
  <c r="I73" i="11" s="1"/>
  <c r="J73" i="11" s="1"/>
  <c r="K73" i="11" s="1"/>
  <c r="L73" i="11" s="1"/>
  <c r="M73" i="11" s="1"/>
  <c r="N73" i="11" s="1"/>
  <c r="O73" i="11" s="1"/>
  <c r="P73" i="11" s="1"/>
  <c r="Q73" i="11" s="1"/>
  <c r="R73" i="11" s="1"/>
  <c r="S73" i="11" s="1"/>
  <c r="T73" i="11" s="1"/>
  <c r="U73" i="11" s="1"/>
  <c r="V73" i="11" s="1"/>
  <c r="W73" i="11" s="1"/>
  <c r="X73" i="11" s="1"/>
  <c r="D74" i="11"/>
  <c r="E89" i="11"/>
  <c r="E92" i="11"/>
  <c r="E94" i="11" s="1"/>
  <c r="E101" i="11" s="1"/>
  <c r="G83" i="11"/>
  <c r="F84" i="11"/>
  <c r="C10" i="8"/>
  <c r="C11" i="8" s="1"/>
  <c r="D14" i="12" l="1"/>
  <c r="F6" i="12"/>
  <c r="C20" i="12"/>
  <c r="C22" i="12" s="1"/>
  <c r="D22" i="12"/>
  <c r="E17" i="8"/>
  <c r="C14" i="8"/>
  <c r="C17" i="8" s="1"/>
  <c r="F17" i="8"/>
  <c r="C5" i="1"/>
  <c r="E103" i="11"/>
  <c r="F85" i="11"/>
  <c r="F87" i="11" s="1"/>
  <c r="D16" i="1"/>
  <c r="H83" i="11"/>
  <c r="G84" i="11"/>
  <c r="G85" i="11" s="1"/>
  <c r="G87" i="11" s="1"/>
  <c r="G6" i="12" l="1"/>
  <c r="G5" i="12"/>
  <c r="G3" i="12"/>
  <c r="C19" i="1"/>
  <c r="C32" i="12"/>
  <c r="C39" i="12" s="1"/>
  <c r="C33" i="5"/>
  <c r="C34" i="5" s="1"/>
  <c r="E33" i="5"/>
  <c r="E34" i="5" s="1"/>
  <c r="D33" i="5"/>
  <c r="D34" i="5" s="1"/>
  <c r="G89" i="11"/>
  <c r="G92" i="11"/>
  <c r="G94" i="11" s="1"/>
  <c r="G101" i="11" s="1"/>
  <c r="G103" i="11" s="1"/>
  <c r="I83" i="11"/>
  <c r="H84" i="11"/>
  <c r="H85" i="11" s="1"/>
  <c r="H87" i="11" s="1"/>
  <c r="F92" i="11"/>
  <c r="F94" i="11" s="1"/>
  <c r="F101" i="11" s="1"/>
  <c r="F89" i="11"/>
  <c r="F103" i="11" l="1"/>
  <c r="H92" i="11"/>
  <c r="H94" i="11" s="1"/>
  <c r="H101" i="11" s="1"/>
  <c r="H103" i="11" s="1"/>
  <c r="H89" i="11"/>
  <c r="J83" i="11"/>
  <c r="I84" i="11"/>
  <c r="I85" i="11" s="1"/>
  <c r="I87" i="11" s="1"/>
  <c r="K83" i="11" l="1"/>
  <c r="J84" i="11"/>
  <c r="J85" i="11" s="1"/>
  <c r="J87" i="11" s="1"/>
  <c r="I92" i="11"/>
  <c r="I94" i="11" s="1"/>
  <c r="I101" i="11" s="1"/>
  <c r="I103" i="11" s="1"/>
  <c r="I89" i="11"/>
  <c r="L83" i="11" l="1"/>
  <c r="K84" i="11"/>
  <c r="K85" i="11" s="1"/>
  <c r="K87" i="11" s="1"/>
  <c r="J89" i="11"/>
  <c r="J92" i="11"/>
  <c r="J94" i="11" s="1"/>
  <c r="J101" i="11" s="1"/>
  <c r="K92" i="11" l="1"/>
  <c r="K94" i="11" s="1"/>
  <c r="K101" i="11" s="1"/>
  <c r="K103" i="11" s="1"/>
  <c r="K89" i="11"/>
  <c r="J103" i="11"/>
  <c r="M83" i="11"/>
  <c r="L84" i="11"/>
  <c r="L85" i="11" s="1"/>
  <c r="L87" i="11" s="1"/>
  <c r="L92" i="11" l="1"/>
  <c r="L94" i="11" s="1"/>
  <c r="L101" i="11" s="1"/>
  <c r="L89" i="11"/>
  <c r="N83" i="11"/>
  <c r="M84" i="11"/>
  <c r="M85" i="11" s="1"/>
  <c r="M87" i="11" s="1"/>
  <c r="O83" i="11" l="1"/>
  <c r="N84" i="11"/>
  <c r="N85" i="11" s="1"/>
  <c r="N87" i="11" s="1"/>
  <c r="M89" i="11"/>
  <c r="M92" i="11"/>
  <c r="M94" i="11" s="1"/>
  <c r="M101" i="11" s="1"/>
  <c r="M103" i="11" s="1"/>
  <c r="L103" i="11"/>
  <c r="P83" i="11" l="1"/>
  <c r="O84" i="11"/>
  <c r="O85" i="11" s="1"/>
  <c r="O87" i="11" s="1"/>
  <c r="N89" i="11"/>
  <c r="N92" i="11"/>
  <c r="N94" i="11" s="1"/>
  <c r="N101" i="11" s="1"/>
  <c r="N103" i="11" s="1"/>
  <c r="Q83" i="11" l="1"/>
  <c r="P84" i="11"/>
  <c r="P85" i="11" s="1"/>
  <c r="P87" i="11" s="1"/>
  <c r="O92" i="11"/>
  <c r="O94" i="11" s="1"/>
  <c r="O101" i="11" s="1"/>
  <c r="O103" i="11" s="1"/>
  <c r="O89" i="11"/>
  <c r="P92" i="11" l="1"/>
  <c r="P94" i="11" s="1"/>
  <c r="P101" i="11" s="1"/>
  <c r="P103" i="11" s="1"/>
  <c r="P89" i="11"/>
  <c r="R83" i="11"/>
  <c r="Q84" i="11"/>
  <c r="Q85" i="11" s="1"/>
  <c r="Q87" i="11" s="1"/>
  <c r="Q89" i="11" l="1"/>
  <c r="Q92" i="11"/>
  <c r="Q94" i="11" s="1"/>
  <c r="Q101" i="11" s="1"/>
  <c r="Q103" i="11" s="1"/>
  <c r="S83" i="11"/>
  <c r="R84" i="11"/>
  <c r="R85" i="11" s="1"/>
  <c r="R87" i="11" s="1"/>
  <c r="R89" i="11" l="1"/>
  <c r="R92" i="11"/>
  <c r="R94" i="11" s="1"/>
  <c r="R101" i="11" s="1"/>
  <c r="R103" i="11" s="1"/>
  <c r="T83" i="11"/>
  <c r="S84" i="11"/>
  <c r="S85" i="11" s="1"/>
  <c r="S87" i="11" s="1"/>
  <c r="S92" i="11" l="1"/>
  <c r="S94" i="11" s="1"/>
  <c r="S101" i="11" s="1"/>
  <c r="S103" i="11" s="1"/>
  <c r="S89" i="11"/>
  <c r="U83" i="11"/>
  <c r="T84" i="11"/>
  <c r="T85" i="11" s="1"/>
  <c r="T87" i="11" s="1"/>
  <c r="T92" i="11" l="1"/>
  <c r="T94" i="11" s="1"/>
  <c r="T101" i="11" s="1"/>
  <c r="T103" i="11" s="1"/>
  <c r="T89" i="11"/>
  <c r="V83" i="11"/>
  <c r="U84" i="11"/>
  <c r="U85" i="11" s="1"/>
  <c r="U87" i="11" s="1"/>
  <c r="W83" i="11" l="1"/>
  <c r="V84" i="11"/>
  <c r="V85" i="11" s="1"/>
  <c r="V87" i="11" s="1"/>
  <c r="U89" i="11"/>
  <c r="U92" i="11"/>
  <c r="U94" i="11" s="1"/>
  <c r="U101" i="11" s="1"/>
  <c r="U103" i="11" s="1"/>
  <c r="D9" i="5"/>
  <c r="D9" i="12" s="1"/>
  <c r="D18" i="12" s="1"/>
  <c r="C9" i="5"/>
  <c r="E7" i="6"/>
  <c r="E4" i="6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U4" i="6" s="1"/>
  <c r="V4" i="6" s="1"/>
  <c r="W4" i="6" s="1"/>
  <c r="X4" i="6" s="1"/>
  <c r="Y4" i="6" s="1"/>
  <c r="D4" i="5"/>
  <c r="E4" i="8"/>
  <c r="D11" i="12" l="1"/>
  <c r="D17" i="12" s="1"/>
  <c r="E18" i="6"/>
  <c r="E4" i="5"/>
  <c r="D25" i="5"/>
  <c r="E11" i="6"/>
  <c r="C19" i="5"/>
  <c r="C21" i="5" s="1"/>
  <c r="C23" i="5" s="1"/>
  <c r="C9" i="12"/>
  <c r="C18" i="12" s="1"/>
  <c r="E55" i="11"/>
  <c r="E56" i="11" s="1"/>
  <c r="E58" i="11" s="1"/>
  <c r="D19" i="5"/>
  <c r="E24" i="11"/>
  <c r="E26" i="11" s="1"/>
  <c r="E27" i="11" s="1"/>
  <c r="E29" i="11" s="1"/>
  <c r="E9" i="6"/>
  <c r="E10" i="6" s="1"/>
  <c r="F24" i="11"/>
  <c r="V89" i="11"/>
  <c r="V92" i="11"/>
  <c r="V94" i="11" s="1"/>
  <c r="V101" i="11" s="1"/>
  <c r="V103" i="11" s="1"/>
  <c r="X83" i="11"/>
  <c r="X84" i="11" s="1"/>
  <c r="X85" i="11" s="1"/>
  <c r="X87" i="11" s="1"/>
  <c r="W84" i="11"/>
  <c r="W85" i="11" s="1"/>
  <c r="W87" i="11" s="1"/>
  <c r="F7" i="6"/>
  <c r="F4" i="8"/>
  <c r="D19" i="12" l="1"/>
  <c r="D23" i="12" s="1"/>
  <c r="C11" i="12"/>
  <c r="C19" i="12" s="1"/>
  <c r="C23" i="12" s="1"/>
  <c r="C24" i="12" s="1"/>
  <c r="D18" i="6"/>
  <c r="D25" i="6" s="1"/>
  <c r="D27" i="6" s="1"/>
  <c r="F4" i="5"/>
  <c r="E25" i="5"/>
  <c r="F11" i="6"/>
  <c r="E12" i="6"/>
  <c r="C26" i="5"/>
  <c r="C28" i="5" s="1"/>
  <c r="C35" i="5" s="1"/>
  <c r="C37" i="5" s="1"/>
  <c r="F9" i="6"/>
  <c r="F10" i="6" s="1"/>
  <c r="E9" i="5"/>
  <c r="E9" i="12" s="1"/>
  <c r="W89" i="11"/>
  <c r="W92" i="11"/>
  <c r="W94" i="11" s="1"/>
  <c r="W101" i="11" s="1"/>
  <c r="W103" i="11" s="1"/>
  <c r="X92" i="11"/>
  <c r="X94" i="11" s="1"/>
  <c r="X101" i="11" s="1"/>
  <c r="X89" i="11"/>
  <c r="E35" i="11"/>
  <c r="E37" i="11" s="1"/>
  <c r="E44" i="11" s="1"/>
  <c r="E31" i="11"/>
  <c r="G24" i="11"/>
  <c r="F26" i="11"/>
  <c r="E60" i="11"/>
  <c r="E63" i="11"/>
  <c r="E65" i="11" s="1"/>
  <c r="E72" i="11" s="1"/>
  <c r="F55" i="11"/>
  <c r="G53" i="11"/>
  <c r="F9" i="12"/>
  <c r="F18" i="12" s="1"/>
  <c r="G9" i="5"/>
  <c r="G9" i="12" s="1"/>
  <c r="G18" i="12" s="1"/>
  <c r="H9" i="5"/>
  <c r="H9" i="12" s="1"/>
  <c r="H18" i="12" s="1"/>
  <c r="G7" i="6"/>
  <c r="D24" i="12" l="1"/>
  <c r="F18" i="6"/>
  <c r="E18" i="12"/>
  <c r="E17" i="6"/>
  <c r="E25" i="6" s="1"/>
  <c r="E27" i="6" s="1"/>
  <c r="H11" i="12"/>
  <c r="I18" i="6"/>
  <c r="G11" i="12"/>
  <c r="H18" i="6"/>
  <c r="G4" i="5"/>
  <c r="F25" i="5"/>
  <c r="F11" i="12"/>
  <c r="G18" i="6"/>
  <c r="G11" i="6"/>
  <c r="E11" i="12"/>
  <c r="E17" i="12" s="1"/>
  <c r="G19" i="5"/>
  <c r="H19" i="5"/>
  <c r="F19" i="5"/>
  <c r="E19" i="5"/>
  <c r="G9" i="6"/>
  <c r="G10" i="6" s="1"/>
  <c r="F27" i="11"/>
  <c r="F29" i="11" s="1"/>
  <c r="D14" i="1"/>
  <c r="H53" i="11"/>
  <c r="G55" i="11"/>
  <c r="G56" i="11" s="1"/>
  <c r="G58" i="11" s="1"/>
  <c r="E46" i="11"/>
  <c r="X103" i="11"/>
  <c r="C106" i="11" s="1"/>
  <c r="C16" i="1" s="1"/>
  <c r="C105" i="11"/>
  <c r="H24" i="11"/>
  <c r="G26" i="11"/>
  <c r="G27" i="11" s="1"/>
  <c r="G29" i="11" s="1"/>
  <c r="F56" i="11"/>
  <c r="F58" i="11" s="1"/>
  <c r="D15" i="1"/>
  <c r="E74" i="11"/>
  <c r="F12" i="6"/>
  <c r="F17" i="6" s="1"/>
  <c r="I9" i="5"/>
  <c r="I9" i="12" s="1"/>
  <c r="I18" i="12" s="1"/>
  <c r="H7" i="6"/>
  <c r="G17" i="12" l="1"/>
  <c r="G19" i="12" s="1"/>
  <c r="G23" i="12" s="1"/>
  <c r="H17" i="12"/>
  <c r="H19" i="12" s="1"/>
  <c r="H23" i="12" s="1"/>
  <c r="F19" i="12"/>
  <c r="F23" i="12" s="1"/>
  <c r="E19" i="12"/>
  <c r="E23" i="12" s="1"/>
  <c r="E24" i="12" s="1"/>
  <c r="I11" i="12"/>
  <c r="J18" i="6"/>
  <c r="H4" i="5"/>
  <c r="G25" i="5"/>
  <c r="H11" i="6"/>
  <c r="I19" i="5"/>
  <c r="H9" i="6"/>
  <c r="H10" i="6" s="1"/>
  <c r="F25" i="6"/>
  <c r="F63" i="11"/>
  <c r="F65" i="11" s="1"/>
  <c r="F72" i="11" s="1"/>
  <c r="F60" i="11"/>
  <c r="I53" i="11"/>
  <c r="H55" i="11"/>
  <c r="H56" i="11" s="1"/>
  <c r="H58" i="11" s="1"/>
  <c r="G63" i="11"/>
  <c r="G65" i="11" s="1"/>
  <c r="G72" i="11" s="1"/>
  <c r="G74" i="11" s="1"/>
  <c r="G60" i="11"/>
  <c r="G31" i="11"/>
  <c r="G35" i="11"/>
  <c r="G37" i="11" s="1"/>
  <c r="G44" i="11" s="1"/>
  <c r="G46" i="11" s="1"/>
  <c r="I24" i="11"/>
  <c r="H26" i="11"/>
  <c r="H27" i="11" s="1"/>
  <c r="H29" i="11" s="1"/>
  <c r="F35" i="11"/>
  <c r="F37" i="11" s="1"/>
  <c r="F44" i="11" s="1"/>
  <c r="F31" i="11"/>
  <c r="J9" i="5"/>
  <c r="J9" i="12" s="1"/>
  <c r="J18" i="12" s="1"/>
  <c r="G12" i="6"/>
  <c r="G17" i="6" s="1"/>
  <c r="I7" i="6"/>
  <c r="F24" i="12" l="1"/>
  <c r="G24" i="12" s="1"/>
  <c r="H24" i="12" s="1"/>
  <c r="I17" i="12"/>
  <c r="I19" i="12" s="1"/>
  <c r="I23" i="12" s="1"/>
  <c r="I4" i="5"/>
  <c r="H25" i="5"/>
  <c r="J11" i="12"/>
  <c r="K18" i="6"/>
  <c r="I11" i="6"/>
  <c r="J19" i="5"/>
  <c r="I9" i="6"/>
  <c r="I10" i="6" s="1"/>
  <c r="F27" i="6"/>
  <c r="G25" i="6"/>
  <c r="G27" i="6" s="1"/>
  <c r="J53" i="11"/>
  <c r="I55" i="11"/>
  <c r="I56" i="11" s="1"/>
  <c r="I58" i="11" s="1"/>
  <c r="F74" i="11"/>
  <c r="H63" i="11"/>
  <c r="H65" i="11" s="1"/>
  <c r="H72" i="11" s="1"/>
  <c r="H74" i="11" s="1"/>
  <c r="H60" i="11"/>
  <c r="F46" i="11"/>
  <c r="H35" i="11"/>
  <c r="H37" i="11" s="1"/>
  <c r="H44" i="11" s="1"/>
  <c r="H46" i="11" s="1"/>
  <c r="H31" i="11"/>
  <c r="J24" i="11"/>
  <c r="I26" i="11"/>
  <c r="I27" i="11" s="1"/>
  <c r="I29" i="11" s="1"/>
  <c r="K9" i="5"/>
  <c r="K9" i="12" s="1"/>
  <c r="K18" i="12" s="1"/>
  <c r="H12" i="6"/>
  <c r="H17" i="6" s="1"/>
  <c r="J7" i="6"/>
  <c r="I24" i="12" l="1"/>
  <c r="J17" i="12"/>
  <c r="J19" i="12" s="1"/>
  <c r="J23" i="12" s="1"/>
  <c r="K11" i="12"/>
  <c r="L18" i="6"/>
  <c r="J4" i="5"/>
  <c r="I25" i="5"/>
  <c r="J11" i="6"/>
  <c r="K19" i="5"/>
  <c r="J9" i="6"/>
  <c r="J10" i="6" s="1"/>
  <c r="H25" i="6"/>
  <c r="H27" i="6" s="1"/>
  <c r="I31" i="11"/>
  <c r="I35" i="11"/>
  <c r="I37" i="11" s="1"/>
  <c r="I44" i="11" s="1"/>
  <c r="K24" i="11"/>
  <c r="J26" i="11"/>
  <c r="J27" i="11" s="1"/>
  <c r="J29" i="11" s="1"/>
  <c r="I60" i="11"/>
  <c r="I63" i="11"/>
  <c r="I65" i="11" s="1"/>
  <c r="I72" i="11" s="1"/>
  <c r="I74" i="11" s="1"/>
  <c r="K53" i="11"/>
  <c r="J55" i="11"/>
  <c r="J56" i="11" s="1"/>
  <c r="J58" i="11" s="1"/>
  <c r="L9" i="5"/>
  <c r="L9" i="12" s="1"/>
  <c r="L18" i="12" s="1"/>
  <c r="I12" i="6"/>
  <c r="I17" i="6" s="1"/>
  <c r="K7" i="6"/>
  <c r="J24" i="12" l="1"/>
  <c r="K17" i="12"/>
  <c r="K19" i="12" s="1"/>
  <c r="K23" i="12" s="1"/>
  <c r="K4" i="5"/>
  <c r="J25" i="5"/>
  <c r="L11" i="12"/>
  <c r="M18" i="6"/>
  <c r="K11" i="6"/>
  <c r="L19" i="5"/>
  <c r="K9" i="6"/>
  <c r="K10" i="6" s="1"/>
  <c r="I25" i="6"/>
  <c r="I27" i="6" s="1"/>
  <c r="L24" i="11"/>
  <c r="K26" i="11"/>
  <c r="K27" i="11" s="1"/>
  <c r="K29" i="11" s="1"/>
  <c r="I46" i="11"/>
  <c r="J35" i="11"/>
  <c r="J37" i="11" s="1"/>
  <c r="J44" i="11" s="1"/>
  <c r="J46" i="11" s="1"/>
  <c r="J31" i="11"/>
  <c r="J63" i="11"/>
  <c r="J65" i="11" s="1"/>
  <c r="J72" i="11" s="1"/>
  <c r="J60" i="11"/>
  <c r="L53" i="11"/>
  <c r="K55" i="11"/>
  <c r="K56" i="11" s="1"/>
  <c r="K58" i="11" s="1"/>
  <c r="M9" i="5"/>
  <c r="M9" i="12" s="1"/>
  <c r="M18" i="12" s="1"/>
  <c r="J12" i="6"/>
  <c r="J17" i="6" s="1"/>
  <c r="L7" i="6"/>
  <c r="K24" i="12" l="1"/>
  <c r="L17" i="12"/>
  <c r="L19" i="12" s="1"/>
  <c r="L23" i="12" s="1"/>
  <c r="L4" i="5"/>
  <c r="K25" i="5"/>
  <c r="M11" i="12"/>
  <c r="N18" i="6"/>
  <c r="L11" i="6"/>
  <c r="M19" i="5"/>
  <c r="L9" i="6"/>
  <c r="L10" i="6" s="1"/>
  <c r="J25" i="6"/>
  <c r="J74" i="11"/>
  <c r="K35" i="11"/>
  <c r="K37" i="11" s="1"/>
  <c r="K44" i="11" s="1"/>
  <c r="K46" i="11" s="1"/>
  <c r="K31" i="11"/>
  <c r="K60" i="11"/>
  <c r="K63" i="11"/>
  <c r="K65" i="11" s="1"/>
  <c r="K72" i="11" s="1"/>
  <c r="K74" i="11" s="1"/>
  <c r="M53" i="11"/>
  <c r="L55" i="11"/>
  <c r="L56" i="11" s="1"/>
  <c r="L58" i="11" s="1"/>
  <c r="M24" i="11"/>
  <c r="L26" i="11"/>
  <c r="L27" i="11" s="1"/>
  <c r="L29" i="11" s="1"/>
  <c r="N9" i="5"/>
  <c r="N9" i="12" s="1"/>
  <c r="N18" i="12" s="1"/>
  <c r="K12" i="6"/>
  <c r="K17" i="6" s="1"/>
  <c r="M7" i="6"/>
  <c r="L24" i="12" l="1"/>
  <c r="M17" i="12"/>
  <c r="M19" i="12" s="1"/>
  <c r="M23" i="12" s="1"/>
  <c r="M4" i="5"/>
  <c r="L25" i="5"/>
  <c r="N11" i="12"/>
  <c r="O18" i="6"/>
  <c r="M11" i="6"/>
  <c r="N19" i="5"/>
  <c r="M9" i="6"/>
  <c r="M10" i="6" s="1"/>
  <c r="J27" i="6"/>
  <c r="K25" i="6"/>
  <c r="K27" i="6" s="1"/>
  <c r="N53" i="11"/>
  <c r="M55" i="11"/>
  <c r="M56" i="11" s="1"/>
  <c r="M58" i="11" s="1"/>
  <c r="L60" i="11"/>
  <c r="L63" i="11"/>
  <c r="L65" i="11" s="1"/>
  <c r="L72" i="11" s="1"/>
  <c r="L74" i="11" s="1"/>
  <c r="L35" i="11"/>
  <c r="L37" i="11" s="1"/>
  <c r="L44" i="11" s="1"/>
  <c r="L46" i="11" s="1"/>
  <c r="L31" i="11"/>
  <c r="N24" i="11"/>
  <c r="M26" i="11"/>
  <c r="M27" i="11" s="1"/>
  <c r="M29" i="11" s="1"/>
  <c r="O9" i="5"/>
  <c r="O9" i="12" s="1"/>
  <c r="O18" i="12" s="1"/>
  <c r="L12" i="6"/>
  <c r="L17" i="6" s="1"/>
  <c r="N7" i="6"/>
  <c r="M24" i="12" l="1"/>
  <c r="N17" i="12"/>
  <c r="N19" i="12" s="1"/>
  <c r="N23" i="12" s="1"/>
  <c r="N4" i="5"/>
  <c r="M25" i="5"/>
  <c r="O11" i="12"/>
  <c r="P18" i="6"/>
  <c r="N11" i="6"/>
  <c r="O19" i="5"/>
  <c r="N9" i="6"/>
  <c r="N10" i="6" s="1"/>
  <c r="L25" i="6"/>
  <c r="L27" i="6" s="1"/>
  <c r="O24" i="11"/>
  <c r="N26" i="11"/>
  <c r="N27" i="11" s="1"/>
  <c r="N29" i="11" s="1"/>
  <c r="M63" i="11"/>
  <c r="M65" i="11" s="1"/>
  <c r="M72" i="11" s="1"/>
  <c r="M74" i="11" s="1"/>
  <c r="M60" i="11"/>
  <c r="M35" i="11"/>
  <c r="M37" i="11" s="1"/>
  <c r="M44" i="11" s="1"/>
  <c r="M46" i="11" s="1"/>
  <c r="M31" i="11"/>
  <c r="O53" i="11"/>
  <c r="N55" i="11"/>
  <c r="N56" i="11" s="1"/>
  <c r="N58" i="11" s="1"/>
  <c r="P9" i="5"/>
  <c r="P9" i="12" s="1"/>
  <c r="P18" i="12" s="1"/>
  <c r="M12" i="6"/>
  <c r="M17" i="6" s="1"/>
  <c r="O7" i="6"/>
  <c r="N24" i="12" l="1"/>
  <c r="O17" i="12"/>
  <c r="O19" i="12" s="1"/>
  <c r="O23" i="12" s="1"/>
  <c r="O4" i="5"/>
  <c r="N25" i="5"/>
  <c r="P11" i="12"/>
  <c r="Q18" i="6"/>
  <c r="O11" i="6"/>
  <c r="P19" i="5"/>
  <c r="O9" i="6"/>
  <c r="O10" i="6" s="1"/>
  <c r="M25" i="6"/>
  <c r="M27" i="6" s="1"/>
  <c r="N63" i="11"/>
  <c r="N65" i="11" s="1"/>
  <c r="N72" i="11" s="1"/>
  <c r="N74" i="11" s="1"/>
  <c r="N60" i="11"/>
  <c r="P53" i="11"/>
  <c r="O55" i="11"/>
  <c r="O56" i="11" s="1"/>
  <c r="O58" i="11" s="1"/>
  <c r="N35" i="11"/>
  <c r="N37" i="11" s="1"/>
  <c r="N44" i="11" s="1"/>
  <c r="N46" i="11" s="1"/>
  <c r="N31" i="11"/>
  <c r="P24" i="11"/>
  <c r="O26" i="11"/>
  <c r="O27" i="11" s="1"/>
  <c r="O29" i="11" s="1"/>
  <c r="Q9" i="5"/>
  <c r="Q9" i="12" s="1"/>
  <c r="Q18" i="12" s="1"/>
  <c r="N12" i="6"/>
  <c r="N17" i="6" s="1"/>
  <c r="P7" i="6"/>
  <c r="O24" i="12" l="1"/>
  <c r="P17" i="12"/>
  <c r="P19" i="12" s="1"/>
  <c r="P23" i="12" s="1"/>
  <c r="Q11" i="12"/>
  <c r="R18" i="6"/>
  <c r="P4" i="5"/>
  <c r="O25" i="5"/>
  <c r="P11" i="6"/>
  <c r="Q19" i="5"/>
  <c r="P9" i="6"/>
  <c r="P10" i="6" s="1"/>
  <c r="N25" i="6"/>
  <c r="N27" i="6" s="1"/>
  <c r="Q24" i="11"/>
  <c r="P26" i="11"/>
  <c r="P27" i="11" s="1"/>
  <c r="P29" i="11" s="1"/>
  <c r="O63" i="11"/>
  <c r="O65" i="11" s="1"/>
  <c r="O72" i="11" s="1"/>
  <c r="O74" i="11" s="1"/>
  <c r="O60" i="11"/>
  <c r="Q53" i="11"/>
  <c r="P55" i="11"/>
  <c r="P56" i="11" s="1"/>
  <c r="P58" i="11" s="1"/>
  <c r="O31" i="11"/>
  <c r="O35" i="11"/>
  <c r="O37" i="11" s="1"/>
  <c r="O44" i="11" s="1"/>
  <c r="O46" i="11" s="1"/>
  <c r="O12" i="6"/>
  <c r="O17" i="6" s="1"/>
  <c r="R9" i="5"/>
  <c r="R9" i="12" s="1"/>
  <c r="R18" i="12" s="1"/>
  <c r="Q7" i="6"/>
  <c r="P24" i="12" l="1"/>
  <c r="Q17" i="12"/>
  <c r="Q19" i="12" s="1"/>
  <c r="Q23" i="12" s="1"/>
  <c r="R11" i="12"/>
  <c r="S18" i="6"/>
  <c r="Q4" i="5"/>
  <c r="P25" i="5"/>
  <c r="Q11" i="6"/>
  <c r="R19" i="5"/>
  <c r="Q9" i="6"/>
  <c r="Q10" i="6" s="1"/>
  <c r="O25" i="6"/>
  <c r="O27" i="6" s="1"/>
  <c r="P60" i="11"/>
  <c r="P63" i="11"/>
  <c r="P65" i="11" s="1"/>
  <c r="P72" i="11" s="1"/>
  <c r="P74" i="11" s="1"/>
  <c r="R53" i="11"/>
  <c r="Q55" i="11"/>
  <c r="Q56" i="11" s="1"/>
  <c r="Q58" i="11" s="1"/>
  <c r="P35" i="11"/>
  <c r="P37" i="11" s="1"/>
  <c r="P44" i="11" s="1"/>
  <c r="P46" i="11" s="1"/>
  <c r="P31" i="11"/>
  <c r="R24" i="11"/>
  <c r="Q26" i="11"/>
  <c r="Q27" i="11" s="1"/>
  <c r="Q29" i="11" s="1"/>
  <c r="S9" i="5"/>
  <c r="S9" i="12" s="1"/>
  <c r="S18" i="12" s="1"/>
  <c r="P12" i="6"/>
  <c r="P17" i="6" s="1"/>
  <c r="R7" i="6"/>
  <c r="Q24" i="12" l="1"/>
  <c r="R17" i="12"/>
  <c r="R19" i="12" s="1"/>
  <c r="R23" i="12" s="1"/>
  <c r="S11" i="12"/>
  <c r="T18" i="6"/>
  <c r="R4" i="5"/>
  <c r="Q25" i="5"/>
  <c r="R11" i="6"/>
  <c r="S19" i="5"/>
  <c r="R9" i="6"/>
  <c r="R10" i="6" s="1"/>
  <c r="P25" i="6"/>
  <c r="P27" i="6" s="1"/>
  <c r="S24" i="11"/>
  <c r="R26" i="11"/>
  <c r="R27" i="11" s="1"/>
  <c r="R29" i="11" s="1"/>
  <c r="Q63" i="11"/>
  <c r="Q65" i="11" s="1"/>
  <c r="Q72" i="11" s="1"/>
  <c r="Q74" i="11" s="1"/>
  <c r="Q60" i="11"/>
  <c r="Q31" i="11"/>
  <c r="Q35" i="11"/>
  <c r="Q37" i="11" s="1"/>
  <c r="Q44" i="11" s="1"/>
  <c r="Q46" i="11" s="1"/>
  <c r="S53" i="11"/>
  <c r="R55" i="11"/>
  <c r="R56" i="11" s="1"/>
  <c r="R58" i="11" s="1"/>
  <c r="T9" i="5"/>
  <c r="T9" i="12" s="1"/>
  <c r="T18" i="12" s="1"/>
  <c r="Q12" i="6"/>
  <c r="Q17" i="6" s="1"/>
  <c r="S7" i="6"/>
  <c r="R24" i="12" l="1"/>
  <c r="S17" i="12"/>
  <c r="S19" i="12" s="1"/>
  <c r="S23" i="12" s="1"/>
  <c r="T11" i="12"/>
  <c r="U18" i="6"/>
  <c r="S4" i="5"/>
  <c r="R25" i="5"/>
  <c r="S11" i="6"/>
  <c r="T19" i="5"/>
  <c r="S9" i="6"/>
  <c r="S10" i="6" s="1"/>
  <c r="Q25" i="6"/>
  <c r="Q27" i="6" s="1"/>
  <c r="R63" i="11"/>
  <c r="R65" i="11" s="1"/>
  <c r="R72" i="11" s="1"/>
  <c r="R74" i="11" s="1"/>
  <c r="R60" i="11"/>
  <c r="T53" i="11"/>
  <c r="S55" i="11"/>
  <c r="S56" i="11" s="1"/>
  <c r="S58" i="11" s="1"/>
  <c r="R31" i="11"/>
  <c r="R35" i="11"/>
  <c r="R37" i="11" s="1"/>
  <c r="R44" i="11" s="1"/>
  <c r="R46" i="11" s="1"/>
  <c r="T24" i="11"/>
  <c r="S26" i="11"/>
  <c r="S27" i="11" s="1"/>
  <c r="S29" i="11" s="1"/>
  <c r="U9" i="5"/>
  <c r="U9" i="12" s="1"/>
  <c r="U18" i="12" s="1"/>
  <c r="R12" i="6"/>
  <c r="R17" i="6" s="1"/>
  <c r="T7" i="6"/>
  <c r="S24" i="12" l="1"/>
  <c r="T17" i="12"/>
  <c r="T19" i="12" s="1"/>
  <c r="T23" i="12" s="1"/>
  <c r="U11" i="12"/>
  <c r="V18" i="6"/>
  <c r="T4" i="5"/>
  <c r="S25" i="5"/>
  <c r="T11" i="6"/>
  <c r="U19" i="5"/>
  <c r="T9" i="6"/>
  <c r="T10" i="6" s="1"/>
  <c r="R25" i="6"/>
  <c r="R27" i="6" s="1"/>
  <c r="S35" i="11"/>
  <c r="S37" i="11" s="1"/>
  <c r="S44" i="11" s="1"/>
  <c r="S46" i="11" s="1"/>
  <c r="S31" i="11"/>
  <c r="U24" i="11"/>
  <c r="T26" i="11"/>
  <c r="T27" i="11" s="1"/>
  <c r="T29" i="11" s="1"/>
  <c r="S60" i="11"/>
  <c r="S63" i="11"/>
  <c r="S65" i="11" s="1"/>
  <c r="S72" i="11" s="1"/>
  <c r="S74" i="11" s="1"/>
  <c r="U53" i="11"/>
  <c r="T55" i="11"/>
  <c r="T56" i="11" s="1"/>
  <c r="T58" i="11" s="1"/>
  <c r="V9" i="5"/>
  <c r="V9" i="12" s="1"/>
  <c r="V18" i="12" s="1"/>
  <c r="S12" i="6"/>
  <c r="S17" i="6" s="1"/>
  <c r="U7" i="6"/>
  <c r="T24" i="12" l="1"/>
  <c r="U17" i="12"/>
  <c r="U19" i="12" s="1"/>
  <c r="U23" i="12" s="1"/>
  <c r="V11" i="12"/>
  <c r="W18" i="6"/>
  <c r="U4" i="5"/>
  <c r="T25" i="5"/>
  <c r="U11" i="6"/>
  <c r="V19" i="5"/>
  <c r="U9" i="6"/>
  <c r="U10" i="6" s="1"/>
  <c r="S25" i="6"/>
  <c r="S27" i="6" s="1"/>
  <c r="T63" i="11"/>
  <c r="T65" i="11" s="1"/>
  <c r="T72" i="11" s="1"/>
  <c r="T74" i="11" s="1"/>
  <c r="T60" i="11"/>
  <c r="V53" i="11"/>
  <c r="U55" i="11"/>
  <c r="U56" i="11" s="1"/>
  <c r="U58" i="11" s="1"/>
  <c r="T35" i="11"/>
  <c r="T37" i="11" s="1"/>
  <c r="T44" i="11" s="1"/>
  <c r="T46" i="11" s="1"/>
  <c r="T31" i="11"/>
  <c r="V24" i="11"/>
  <c r="U26" i="11"/>
  <c r="U27" i="11" s="1"/>
  <c r="U29" i="11" s="1"/>
  <c r="X9" i="5"/>
  <c r="X9" i="12" s="1"/>
  <c r="X18" i="12" s="1"/>
  <c r="W9" i="5"/>
  <c r="W9" i="12" s="1"/>
  <c r="W18" i="12" s="1"/>
  <c r="T12" i="6"/>
  <c r="T17" i="6" s="1"/>
  <c r="V7" i="6"/>
  <c r="U24" i="12" l="1"/>
  <c r="V17" i="12"/>
  <c r="V19" i="12" s="1"/>
  <c r="V23" i="12" s="1"/>
  <c r="V24" i="12" s="1"/>
  <c r="W11" i="12"/>
  <c r="X18" i="6"/>
  <c r="V4" i="5"/>
  <c r="U25" i="5"/>
  <c r="Y18" i="6"/>
  <c r="D36" i="12"/>
  <c r="V11" i="6"/>
  <c r="X11" i="12"/>
  <c r="W19" i="5"/>
  <c r="X19" i="5"/>
  <c r="V9" i="6"/>
  <c r="V10" i="6" s="1"/>
  <c r="T25" i="6"/>
  <c r="T27" i="6" s="1"/>
  <c r="U31" i="11"/>
  <c r="U35" i="11"/>
  <c r="U37" i="11" s="1"/>
  <c r="U44" i="11" s="1"/>
  <c r="U46" i="11" s="1"/>
  <c r="W24" i="11"/>
  <c r="V26" i="11"/>
  <c r="V27" i="11" s="1"/>
  <c r="V29" i="11" s="1"/>
  <c r="U63" i="11"/>
  <c r="U65" i="11" s="1"/>
  <c r="U72" i="11" s="1"/>
  <c r="U74" i="11" s="1"/>
  <c r="U60" i="11"/>
  <c r="W53" i="11"/>
  <c r="V55" i="11"/>
  <c r="V56" i="11" s="1"/>
  <c r="V58" i="11" s="1"/>
  <c r="U12" i="6"/>
  <c r="U17" i="6" s="1"/>
  <c r="W7" i="6"/>
  <c r="W17" i="12" l="1"/>
  <c r="W19" i="12" s="1"/>
  <c r="W23" i="12" s="1"/>
  <c r="W24" i="12" s="1"/>
  <c r="X17" i="12"/>
  <c r="X19" i="12" s="1"/>
  <c r="X23" i="12" s="1"/>
  <c r="W4" i="5"/>
  <c r="V25" i="5"/>
  <c r="W11" i="6"/>
  <c r="D37" i="12"/>
  <c r="D38" i="12" s="1"/>
  <c r="W9" i="6"/>
  <c r="W10" i="6" s="1"/>
  <c r="U25" i="6"/>
  <c r="U27" i="6" s="1"/>
  <c r="V63" i="11"/>
  <c r="V65" i="11" s="1"/>
  <c r="V72" i="11" s="1"/>
  <c r="V74" i="11" s="1"/>
  <c r="V60" i="11"/>
  <c r="X53" i="11"/>
  <c r="X55" i="11" s="1"/>
  <c r="X56" i="11" s="1"/>
  <c r="X58" i="11" s="1"/>
  <c r="W55" i="11"/>
  <c r="W56" i="11" s="1"/>
  <c r="W58" i="11" s="1"/>
  <c r="V35" i="11"/>
  <c r="V37" i="11" s="1"/>
  <c r="V44" i="11" s="1"/>
  <c r="V46" i="11" s="1"/>
  <c r="V31" i="11"/>
  <c r="X24" i="11"/>
  <c r="X26" i="11" s="1"/>
  <c r="X27" i="11" s="1"/>
  <c r="X29" i="11" s="1"/>
  <c r="W26" i="11"/>
  <c r="W27" i="11" s="1"/>
  <c r="W29" i="11" s="1"/>
  <c r="V12" i="6"/>
  <c r="V17" i="6" s="1"/>
  <c r="X7" i="6"/>
  <c r="C40" i="12" l="1"/>
  <c r="C42" i="12" s="1"/>
  <c r="C22" i="1" s="1"/>
  <c r="C20" i="1"/>
  <c r="X24" i="12"/>
  <c r="X4" i="5"/>
  <c r="X25" i="5" s="1"/>
  <c r="W25" i="5"/>
  <c r="X11" i="6"/>
  <c r="X9" i="6"/>
  <c r="X10" i="6" s="1"/>
  <c r="V25" i="6"/>
  <c r="V27" i="6" s="1"/>
  <c r="X31" i="11"/>
  <c r="X35" i="11"/>
  <c r="X37" i="11" s="1"/>
  <c r="X44" i="11" s="1"/>
  <c r="W31" i="11"/>
  <c r="W35" i="11"/>
  <c r="W37" i="11" s="1"/>
  <c r="W44" i="11" s="1"/>
  <c r="W46" i="11" s="1"/>
  <c r="W63" i="11"/>
  <c r="W65" i="11" s="1"/>
  <c r="W72" i="11" s="1"/>
  <c r="W74" i="11" s="1"/>
  <c r="W60" i="11"/>
  <c r="X63" i="11"/>
  <c r="X65" i="11" s="1"/>
  <c r="X72" i="11" s="1"/>
  <c r="X60" i="11"/>
  <c r="W12" i="6"/>
  <c r="W17" i="6" s="1"/>
  <c r="Y7" i="6"/>
  <c r="Y11" i="6" l="1"/>
  <c r="Y9" i="6"/>
  <c r="Y10" i="6" s="1"/>
  <c r="W25" i="6"/>
  <c r="W27" i="6" s="1"/>
  <c r="X74" i="11"/>
  <c r="C77" i="11" s="1"/>
  <c r="C15" i="1" s="1"/>
  <c r="C76" i="11"/>
  <c r="X46" i="11"/>
  <c r="C49" i="11" s="1"/>
  <c r="C14" i="1" s="1"/>
  <c r="C48" i="11"/>
  <c r="X12" i="6"/>
  <c r="X17" i="6" s="1"/>
  <c r="X25" i="6" l="1"/>
  <c r="X27" i="6" s="1"/>
  <c r="Y12" i="6"/>
  <c r="Y17" i="6" s="1"/>
  <c r="Y25" i="6" l="1"/>
  <c r="D29" i="6" s="1"/>
  <c r="C25" i="1" s="1"/>
  <c r="Y27" i="6" l="1"/>
  <c r="D30" i="6" s="1"/>
  <c r="C26" i="1" s="1"/>
  <c r="D21" i="5"/>
  <c r="D26" i="5" s="1"/>
  <c r="D27" i="5"/>
  <c r="E20" i="5"/>
  <c r="D23" i="5" l="1"/>
  <c r="D28" i="5"/>
  <c r="D35" i="5" s="1"/>
  <c r="D37" i="5" s="1"/>
  <c r="F20" i="5"/>
  <c r="E27" i="5"/>
  <c r="E21" i="5"/>
  <c r="F21" i="5" l="1"/>
  <c r="F27" i="5"/>
  <c r="E23" i="5"/>
  <c r="E26" i="5"/>
  <c r="E28" i="5" s="1"/>
  <c r="E35" i="5" s="1"/>
  <c r="G20" i="5"/>
  <c r="E37" i="5" l="1"/>
  <c r="G21" i="5"/>
  <c r="G27" i="5"/>
  <c r="H20" i="5"/>
  <c r="F23" i="5"/>
  <c r="F26" i="5"/>
  <c r="F28" i="5" s="1"/>
  <c r="F35" i="5" s="1"/>
  <c r="F37" i="5" s="1"/>
  <c r="G23" i="5" l="1"/>
  <c r="G26" i="5"/>
  <c r="G28" i="5" s="1"/>
  <c r="G35" i="5" s="1"/>
  <c r="G37" i="5" s="1"/>
  <c r="I20" i="5"/>
  <c r="J20" i="5" s="1"/>
  <c r="H27" i="5"/>
  <c r="H21" i="5"/>
  <c r="K20" i="5" l="1"/>
  <c r="K21" i="5" s="1"/>
  <c r="J21" i="5"/>
  <c r="J27" i="5"/>
  <c r="L20" i="5"/>
  <c r="H23" i="5"/>
  <c r="H26" i="5"/>
  <c r="H28" i="5" s="1"/>
  <c r="H35" i="5" s="1"/>
  <c r="H37" i="5" s="1"/>
  <c r="I21" i="5"/>
  <c r="I27" i="5"/>
  <c r="K27" i="5" l="1"/>
  <c r="I23" i="5"/>
  <c r="I26" i="5"/>
  <c r="I28" i="5" s="1"/>
  <c r="I35" i="5" s="1"/>
  <c r="J26" i="5"/>
  <c r="J28" i="5" s="1"/>
  <c r="J35" i="5" s="1"/>
  <c r="J37" i="5" s="1"/>
  <c r="J23" i="5"/>
  <c r="L21" i="5"/>
  <c r="L27" i="5"/>
  <c r="M20" i="5"/>
  <c r="K26" i="5"/>
  <c r="K28" i="5" s="1"/>
  <c r="K35" i="5" s="1"/>
  <c r="K37" i="5" s="1"/>
  <c r="K23" i="5"/>
  <c r="M27" i="5" l="1"/>
  <c r="M21" i="5"/>
  <c r="N20" i="5"/>
  <c r="I37" i="5"/>
  <c r="L23" i="5"/>
  <c r="L26" i="5"/>
  <c r="L28" i="5" s="1"/>
  <c r="L35" i="5" s="1"/>
  <c r="L37" i="5" s="1"/>
  <c r="N27" i="5" l="1"/>
  <c r="N21" i="5"/>
  <c r="O20" i="5"/>
  <c r="M26" i="5"/>
  <c r="M28" i="5" s="1"/>
  <c r="M35" i="5" s="1"/>
  <c r="M37" i="5" s="1"/>
  <c r="M23" i="5"/>
  <c r="O21" i="5" l="1"/>
  <c r="O27" i="5"/>
  <c r="P20" i="5"/>
  <c r="N26" i="5"/>
  <c r="N28" i="5" s="1"/>
  <c r="N35" i="5" s="1"/>
  <c r="N37" i="5" s="1"/>
  <c r="N23" i="5"/>
  <c r="P21" i="5" l="1"/>
  <c r="P27" i="5"/>
  <c r="Q20" i="5"/>
  <c r="O23" i="5"/>
  <c r="O26" i="5"/>
  <c r="O28" i="5" s="1"/>
  <c r="O35" i="5" s="1"/>
  <c r="O37" i="5" s="1"/>
  <c r="Q27" i="5" l="1"/>
  <c r="Q21" i="5"/>
  <c r="R20" i="5"/>
  <c r="P23" i="5"/>
  <c r="P26" i="5"/>
  <c r="P28" i="5" s="1"/>
  <c r="P35" i="5" s="1"/>
  <c r="P37" i="5" s="1"/>
  <c r="R21" i="5" l="1"/>
  <c r="R27" i="5"/>
  <c r="S20" i="5"/>
  <c r="Q23" i="5"/>
  <c r="Q26" i="5"/>
  <c r="Q28" i="5" s="1"/>
  <c r="Q35" i="5" s="1"/>
  <c r="Q37" i="5" s="1"/>
  <c r="S21" i="5" l="1"/>
  <c r="S27" i="5"/>
  <c r="T20" i="5"/>
  <c r="R23" i="5"/>
  <c r="R26" i="5"/>
  <c r="R28" i="5" s="1"/>
  <c r="R35" i="5" s="1"/>
  <c r="R37" i="5" s="1"/>
  <c r="T21" i="5" l="1"/>
  <c r="T27" i="5"/>
  <c r="U20" i="5"/>
  <c r="S23" i="5"/>
  <c r="S26" i="5"/>
  <c r="S28" i="5" s="1"/>
  <c r="S35" i="5" s="1"/>
  <c r="S37" i="5" s="1"/>
  <c r="U21" i="5" l="1"/>
  <c r="U27" i="5"/>
  <c r="V20" i="5"/>
  <c r="T26" i="5"/>
  <c r="T28" i="5" s="1"/>
  <c r="T35" i="5" s="1"/>
  <c r="T37" i="5" s="1"/>
  <c r="T23" i="5"/>
  <c r="V27" i="5" l="1"/>
  <c r="V21" i="5"/>
  <c r="W20" i="5"/>
  <c r="X20" i="5" s="1"/>
  <c r="U23" i="5"/>
  <c r="U26" i="5"/>
  <c r="U28" i="5" s="1"/>
  <c r="U35" i="5" s="1"/>
  <c r="U37" i="5" s="1"/>
  <c r="W27" i="5" l="1"/>
  <c r="W21" i="5"/>
  <c r="V26" i="5"/>
  <c r="V28" i="5" s="1"/>
  <c r="V35" i="5" s="1"/>
  <c r="V37" i="5" s="1"/>
  <c r="V23" i="5"/>
  <c r="X21" i="5" l="1"/>
  <c r="X27" i="5"/>
  <c r="W26" i="5"/>
  <c r="W28" i="5" s="1"/>
  <c r="W35" i="5" s="1"/>
  <c r="W37" i="5" s="1"/>
  <c r="W23" i="5"/>
  <c r="X26" i="5" l="1"/>
  <c r="X28" i="5" s="1"/>
  <c r="X35" i="5" s="1"/>
  <c r="X23" i="5"/>
  <c r="X37" i="5" l="1"/>
  <c r="C40" i="5" s="1"/>
  <c r="C6" i="1" s="1"/>
  <c r="C3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tc={57DA5782-EFF1-4177-87F8-7BE2DCB29D73}</author>
  </authors>
  <commentList>
    <comment ref="D43" authorId="0" shapeId="0" xr:uid="{57DA5782-EFF1-4177-87F8-7BE2DCB29D73}">
      <text>
        <t>[Threaded comment]
Your version of Excel allows you to read this threaded comment; however, any edits to it will get removed if the file is opened in a newer version of Excel. Learn more: https://go.microsoft.com/fwlink/?linkid=870924
Comment:
    3 aasta keskmine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tc={3FB0D80F-5CC9-43BB-B1D5-F399B8436492}</author>
    <author>tc={18FB6A1F-EE09-4ABB-BA7B-A66C1E6404DB}</author>
    <author>tc={DBADAF96-7E0E-482B-AC7C-6AA74B8D5595}</author>
    <author>tc={6815F364-E13D-42CE-8C29-7D80D23D111D}</author>
    <author>tc={57025DBC-EEC1-4C46-B729-7D19AAB1772B}</author>
    <author>tc={3CCC94A6-96F9-418C-A29C-24F455B074C5}</author>
    <author>tc={E8129C07-E412-4FC9-9C13-E19A96587561}</author>
    <author>tc={1ABE54D5-4FF8-4C3E-9F5A-0D4F10D6D2A6}</author>
  </authors>
  <commentList>
    <comment ref="B7" authorId="0" shapeId="0" xr:uid="{3FB0D80F-5CC9-43BB-B1D5-F399B8436492}">
      <text>
        <t>[Threaded comment]
Your version of Excel allows you to read this threaded comment; however, any edits to it will get removed if the file is opened in a newer version of Excel. Learn more: https://go.microsoft.com/fwlink/?linkid=870924
Comment:
    PA004: KESKMINE BRUTOPALK, TÖÖJÕUKULU JA TÖÖTATUD TUNNID MAAKONNA JÄRGI (KVARTALID). 2022</t>
      </text>
    </comment>
    <comment ref="B43" authorId="1" shapeId="0" xr:uid="{18FB6A1F-EE09-4ABB-BA7B-A66C1E6404DB}">
      <text>
        <t>[Threaded comment]
Your version of Excel allows you to read this threaded comment; however, any edits to it will get removed if the file is opened in a newer version of Excel. Learn more: https://go.microsoft.com/fwlink/?linkid=870924
Comment:
    VK12: KAUPADE EKSPORT, IMPORT JA NENDE MUUTUS RIIGI JÄRGI</t>
      </text>
    </comment>
    <comment ref="B44" authorId="2" shapeId="0" xr:uid="{DBADAF96-7E0E-482B-AC7C-6AA74B8D5595}">
      <text>
        <t>[Threaded comment]
Your version of Excel allows you to read this threaded comment; however, any edits to it will get removed if the file is opened in a newer version of Excel. Learn more: https://go.microsoft.com/fwlink/?linkid=870924
Comment:
    VK12: KAUPADE EKSPORT, IMPORT JA NENDE MUUTUS RIIGI JÄRGI</t>
      </text>
    </comment>
    <comment ref="B45" authorId="3" shapeId="0" xr:uid="{6815F364-E13D-42CE-8C29-7D80D23D111D}">
      <text>
        <t>[Threaded comment]
Your version of Excel allows you to read this threaded comment; however, any edits to it will get removed if the file is opened in a newer version of Excel. Learn more: https://go.microsoft.com/fwlink/?linkid=870924
Comment:
    RR0295: MAKSUD JA SOTSIAALMAKSED RAHVAMAJANDUSE ARVEPIDAMISES SEKTORI JÄRGI (ESA 2010)</t>
      </text>
    </comment>
    <comment ref="B51" authorId="4" shapeId="0" xr:uid="{57025DBC-EEC1-4C46-B729-7D19AAB1772B}">
      <text>
        <t>[Threaded comment]
Your version of Excel allows you to read this threaded comment; however, any edits to it will get removed if the file is opened in a newer version of Excel. Learn more: https://go.microsoft.com/fwlink/?linkid=870924
Comment:
    TT4645: 15-74-AASTASTE HÕIVESEISUND PIIRKONNA, MAAKONNA JA VANUSERÜHMA JÄRGI</t>
      </text>
    </comment>
    <comment ref="D56" authorId="5" shapeId="0" xr:uid="{3CCC94A6-96F9-418C-A29C-24F455B074C5}">
      <text>
        <t>[Threaded comment]
Your version of Excel allows you to read this threaded comment; however, any edits to it will get removed if the file is opened in a newer version of Excel. Learn more: https://go.microsoft.com/fwlink/?linkid=870924
Comment:
    Jaemüük spetsialiseerimata kauplustes, kus on ülekaalus toidukaubad, joogid ja tubakatooted</t>
      </text>
    </comment>
    <comment ref="B57" authorId="6" shapeId="0" xr:uid="{E8129C07-E412-4FC9-9C13-E19A96587561}">
      <text>
        <t>[Threaded comment]
Your version of Excel allows you to read this threaded comment; however, any edits to it will get removed if the file is opened in a newer version of Excel. Learn more: https://go.microsoft.com/fwlink/?linkid=870924
Comment:
    EM026: ETTEVÕTETE AASTASTATISTIKA KVALITEEDINÄITAJAD TEGEVUSALA JÄRGI</t>
      </text>
    </comment>
    <comment ref="B58" authorId="7" shapeId="0" xr:uid="{1ABE54D5-4FF8-4C3E-9F5A-0D4F10D6D2A6}">
      <text>
        <t>[Threaded comment]
Your version of Excel allows you to read this threaded comment; however, any edits to it will get removed if the file is opened in a newer version of Excel. Learn more: https://go.microsoft.com/fwlink/?linkid=870924
Comment:
    EM026: ETTEVÕTETE AASTASTATISTIKA KVALITEEDINÄITAJAD TEGEVUSALA JÄRGI</t>
      </text>
    </comment>
  </commentList>
</comments>
</file>

<file path=xl/sharedStrings.xml><?xml version="1.0" encoding="utf-8"?>
<sst xmlns="http://schemas.openxmlformats.org/spreadsheetml/2006/main" count="503" uniqueCount="255">
  <si>
    <t>Üldine</t>
  </si>
  <si>
    <t>Tulude eeldused</t>
  </si>
  <si>
    <t>Kulude eeldused</t>
  </si>
  <si>
    <t>Inflatsioon</t>
  </si>
  <si>
    <t>%</t>
  </si>
  <si>
    <t>Sotsiaalmajanduslik analüüs</t>
  </si>
  <si>
    <t>Majutusteenus ostetakse sisse</t>
  </si>
  <si>
    <t>Kasulik eluiga</t>
  </si>
  <si>
    <t>aastat</t>
  </si>
  <si>
    <t>Tulumaksumäär</t>
  </si>
  <si>
    <t>Majutuse tasuvusanalüüs</t>
  </si>
  <si>
    <t>Tasuvusanalüüs</t>
  </si>
  <si>
    <t>Palgakasv</t>
  </si>
  <si>
    <t>Õppehoone eeldused</t>
  </si>
  <si>
    <t>Majutusasutuse eeldused</t>
  </si>
  <si>
    <t>Vesi ja kanalisatsioon</t>
  </si>
  <si>
    <t>Ehitushind</t>
  </si>
  <si>
    <t>Projekti eelarve</t>
  </si>
  <si>
    <t>Projekteerimine</t>
  </si>
  <si>
    <t>Ehitus</t>
  </si>
  <si>
    <t>Omanikujärelevalve</t>
  </si>
  <si>
    <t>Projektijuhtimine</t>
  </si>
  <si>
    <t>Sisustus</t>
  </si>
  <si>
    <t>Kokku</t>
  </si>
  <si>
    <t>Finantseerimine</t>
  </si>
  <si>
    <t>Omavahendid</t>
  </si>
  <si>
    <t>Laenukapital</t>
  </si>
  <si>
    <t>Toetus</t>
  </si>
  <si>
    <t>Tööjõukulud</t>
  </si>
  <si>
    <t>Tulud kokku</t>
  </si>
  <si>
    <t>Kulud kokku</t>
  </si>
  <si>
    <t>EBITDA</t>
  </si>
  <si>
    <t>Põhivara kulum</t>
  </si>
  <si>
    <t>Ärikasum</t>
  </si>
  <si>
    <t>Intressikulu</t>
  </si>
  <si>
    <t>Kasum/kahjum</t>
  </si>
  <si>
    <t>Rahavood</t>
  </si>
  <si>
    <t>Aasta</t>
  </si>
  <si>
    <t>Põhitegevuse rahavoog kokku</t>
  </si>
  <si>
    <t>Kasumiaruanne</t>
  </si>
  <si>
    <t>Investeeringud</t>
  </si>
  <si>
    <t>Investeeringutegevuse rahavood kokku</t>
  </si>
  <si>
    <t>Laenu saamine/tagasimakse</t>
  </si>
  <si>
    <t>Intressikulud</t>
  </si>
  <si>
    <t>Rahavoog finantseerimistegevusest kokku</t>
  </si>
  <si>
    <t>Vaba rahavoog</t>
  </si>
  <si>
    <t>Diskontomäär</t>
  </si>
  <si>
    <t>NPV</t>
  </si>
  <si>
    <t>IRR</t>
  </si>
  <si>
    <t>Annetused ja toetused</t>
  </si>
  <si>
    <t>Tulu ettevõtlusest</t>
  </si>
  <si>
    <t>Muud kulud</t>
  </si>
  <si>
    <t>Mõju majandusele ja tööhõivele</t>
  </si>
  <si>
    <t>Lisanduvate töökohtade arv</t>
  </si>
  <si>
    <t>Tulumaksuvaba miinimum aastas</t>
  </si>
  <si>
    <t>Tulumaksu laekumine kokku</t>
  </si>
  <si>
    <t>Sotsiaalmaksu laekumine kokku</t>
  </si>
  <si>
    <t>Riigile töökohtade loomise tulemusena makstavad maksud</t>
  </si>
  <si>
    <t>Käibemaks</t>
  </si>
  <si>
    <t>Tulumaks</t>
  </si>
  <si>
    <t>Lisanduvate õpilaste arv</t>
  </si>
  <si>
    <t>Rahas hinnatavad välismõjud kokku</t>
  </si>
  <si>
    <t>Projekti tegevustulud kokku</t>
  </si>
  <si>
    <t>Projekti tegevuskulud kokku</t>
  </si>
  <si>
    <t>Investeeringukulud kokku</t>
  </si>
  <si>
    <t>Neto rahavoog</t>
  </si>
  <si>
    <t>ERR</t>
  </si>
  <si>
    <t>ENPV</t>
  </si>
  <si>
    <t>Majutatavate arv</t>
  </si>
  <si>
    <t>Maksumus õpilase kohta</t>
  </si>
  <si>
    <t>Tasu majutuse eest</t>
  </si>
  <si>
    <t>Renditav pind</t>
  </si>
  <si>
    <t>Rendihind</t>
  </si>
  <si>
    <t>€/m2</t>
  </si>
  <si>
    <t>tk</t>
  </si>
  <si>
    <t>€</t>
  </si>
  <si>
    <t>Ühik</t>
  </si>
  <si>
    <t>m2</t>
  </si>
  <si>
    <t>Renditasu</t>
  </si>
  <si>
    <t>€/m2/kuus</t>
  </si>
  <si>
    <t>€/kuus</t>
  </si>
  <si>
    <t>Keskmine brutopalk</t>
  </si>
  <si>
    <t>Kooli pindala</t>
  </si>
  <si>
    <t>Kommunaalkulud</t>
  </si>
  <si>
    <t>€/tund</t>
  </si>
  <si>
    <t>Soojusenergia</t>
  </si>
  <si>
    <t>Elekter</t>
  </si>
  <si>
    <t>Prügi</t>
  </si>
  <si>
    <t>Soojusenergia hind</t>
  </si>
  <si>
    <t>Elektrihind</t>
  </si>
  <si>
    <t>Vee ja kanalisastiooni hind</t>
  </si>
  <si>
    <t>€/MWh</t>
  </si>
  <si>
    <t>€/m3</t>
  </si>
  <si>
    <t>m3</t>
  </si>
  <si>
    <t>€/kWh</t>
  </si>
  <si>
    <t>kWh/a</t>
  </si>
  <si>
    <t>MWh/a</t>
  </si>
  <si>
    <t>Värbamistasud</t>
  </si>
  <si>
    <t>Värbamistasu</t>
  </si>
  <si>
    <t>Talentide arv</t>
  </si>
  <si>
    <t>tk/aastas</t>
  </si>
  <si>
    <t>Vastuvõtukatsed</t>
  </si>
  <si>
    <t>Halduskulu</t>
  </si>
  <si>
    <t>Litsentsitasud</t>
  </si>
  <si>
    <t>€/in/aastas</t>
  </si>
  <si>
    <t>Töötajate arv</t>
  </si>
  <si>
    <t>€/kuus/in</t>
  </si>
  <si>
    <t>Diskonteerimisfaktor</t>
  </si>
  <si>
    <t>Diskonteeritud vaba rahavoog</t>
  </si>
  <si>
    <t>Muu finatseering (toetus)</t>
  </si>
  <si>
    <t>EUR</t>
  </si>
  <si>
    <t>Vaba rahavoo nüüdisväärtus</t>
  </si>
  <si>
    <t>Neto rahavoo nüüdisväärtus</t>
  </si>
  <si>
    <t>Rendihind (EV omaosalus)</t>
  </si>
  <si>
    <t>Rendihind (KOV omaosalus)</t>
  </si>
  <si>
    <t>Haldus-hooldusteenus</t>
  </si>
  <si>
    <t>Haldus/hooldusteenus</t>
  </si>
  <si>
    <t>Projekteerimine (5%)</t>
  </si>
  <si>
    <t>Ehitusjärelevalve (5%)</t>
  </si>
  <si>
    <t>Toetus (75%)</t>
  </si>
  <si>
    <t>Suvi 2022</t>
  </si>
  <si>
    <t>Olulisemad majandusnäitajad</t>
  </si>
  <si>
    <t>tegelik</t>
  </si>
  <si>
    <t>prognoos</t>
  </si>
  <si>
    <t>üleminek</t>
  </si>
  <si>
    <t>Ageing Report 2021</t>
  </si>
  <si>
    <t>SKP jooksevhindades (mln €)</t>
  </si>
  <si>
    <t>SKP püsivhindades (mln €)</t>
  </si>
  <si>
    <t>SKP reaalkasv</t>
  </si>
  <si>
    <t>SKP nominaalkasv</t>
  </si>
  <si>
    <t>Tarbijahinnaindeks</t>
  </si>
  <si>
    <t>Hõive (tuh inimest)</t>
  </si>
  <si>
    <t>Hõive kasv</t>
  </si>
  <si>
    <t>Tööpuudus</t>
  </si>
  <si>
    <t>Tööviljakuse kasv</t>
  </si>
  <si>
    <t>Keskmine kuupalk (€)</t>
  </si>
  <si>
    <t>Sotsiaalmaks (mln EUR)</t>
  </si>
  <si>
    <t>sotsmaks%</t>
  </si>
  <si>
    <t>pensioniindeks</t>
  </si>
  <si>
    <t>Kuni 2026. aastani RM suvine majandusprognoos 2022 (valminud 23.08.2022)</t>
  </si>
  <si>
    <t>Alates aastast 2041 on kasutatud Euroopa Liidu majanduspoliitika komitee (Economic Policy Committee) poolt kokku lepitud, kogu ELi kohta ühtsetel alustel loodud eeldusi eelarvepoliitika pikaajalise jätkusuutlikkuse hindamiseks.</t>
  </si>
  <si>
    <t>Periood 2027-2040 toimub tasemete üleminek RM prognoosilt Ageing Report 2021 projektsioonidele.</t>
  </si>
  <si>
    <t>Allikad:</t>
  </si>
  <si>
    <t>Statistikaamet</t>
  </si>
  <si>
    <t>Rahandusministeerium</t>
  </si>
  <si>
    <t>European Commission. 2021 Ageing Report – Underlying assumptions and Projection methodologies. Forthcoming</t>
  </si>
  <si>
    <t>Reaalne diskontomäär</t>
  </si>
  <si>
    <t>Nominaalne diskontomäär</t>
  </si>
  <si>
    <t>Muu finatseering</t>
  </si>
  <si>
    <t>Ehitus (renoveerimine)</t>
  </si>
  <si>
    <t>Variant A</t>
  </si>
  <si>
    <t>Koolimaja enda majutus (Jüri 19A)</t>
  </si>
  <si>
    <t>Variant B</t>
  </si>
  <si>
    <t>Variant C</t>
  </si>
  <si>
    <t>Majutuse renoveerimise maksumus</t>
  </si>
  <si>
    <t>Variantide võrdlus</t>
  </si>
  <si>
    <t>Variant C (majutusteenus ostetakse sisse)</t>
  </si>
  <si>
    <t>NPV (EUR)</t>
  </si>
  <si>
    <t>Aastane kulu, 2026 (EUR)</t>
  </si>
  <si>
    <t>Kokku km-ga</t>
  </si>
  <si>
    <t>Kokku KM-iga</t>
  </si>
  <si>
    <t>Õppijate arv koolis</t>
  </si>
  <si>
    <t>Turunduskulud</t>
  </si>
  <si>
    <t>Sotsiaalmajanduslikus analüüsis kasutataud konverteerimisfaktorid</t>
  </si>
  <si>
    <t>Kulu tüüp</t>
  </si>
  <si>
    <t>CF</t>
  </si>
  <si>
    <t>Märkus</t>
  </si>
  <si>
    <t>Standardne konverteerimisfaktor (SCF)</t>
  </si>
  <si>
    <t>Tööjõud</t>
  </si>
  <si>
    <t>Materjalid</t>
  </si>
  <si>
    <t>Kinnistu ost</t>
  </si>
  <si>
    <t>SCF</t>
  </si>
  <si>
    <t>CF=SCF</t>
  </si>
  <si>
    <t>Eksport (mln EUR)</t>
  </si>
  <si>
    <t>Import (mln EUR)</t>
  </si>
  <si>
    <t>Impordimaksud (mln EUR)</t>
  </si>
  <si>
    <t>Ekspordimaksud (mln EUR)</t>
  </si>
  <si>
    <t>Varipalgamäära faktor (SWRF)</t>
  </si>
  <si>
    <t>70% materjalid, 20% tööjõud, 10% kasum (CF = 0)</t>
  </si>
  <si>
    <t>90% SWRF, 10% kasum (CF = 0)</t>
  </si>
  <si>
    <t>Tööjõumaksud</t>
  </si>
  <si>
    <t>Töötuse määr</t>
  </si>
  <si>
    <t>Allikas : Statistikaamet</t>
  </si>
  <si>
    <t>Keskmine piirkonda jäetav summa aastas</t>
  </si>
  <si>
    <t>Lisandväärtus piirkonda jäetavalt tulult</t>
  </si>
  <si>
    <t>Müügitulu, tuhat eurot</t>
  </si>
  <si>
    <t>Lisandväärtus, tuhat eurot</t>
  </si>
  <si>
    <t>Lisandväärtus, %</t>
  </si>
  <si>
    <t>Keskmine brutokuupalk (Info ja side) (EUR)</t>
  </si>
  <si>
    <t>Majutus ja toitlustus</t>
  </si>
  <si>
    <t>Jaemüük spetsialiseerimata kauplustes</t>
  </si>
  <si>
    <t>Mõju ettevõtlusele</t>
  </si>
  <si>
    <t>TULUD KOKKU</t>
  </si>
  <si>
    <t>Eelarve (Jüri 19A)</t>
  </si>
  <si>
    <t>Koolihoone tasuvusanalüüs</t>
  </si>
  <si>
    <t>Koolihoone renoveerimise maksumus (koos KM-ga)</t>
  </si>
  <si>
    <t>Majutuse renoveerimise maksumus (koos KM-ga)</t>
  </si>
  <si>
    <t>Eelarve (Kreutzwaldi 16)</t>
  </si>
  <si>
    <t>Variant B (Kreutzwaldi 16)</t>
  </si>
  <si>
    <t>Variant A (Jüri 19A)</t>
  </si>
  <si>
    <t>Koolimaja enda majutus (Kreutzwaldi 16)</t>
  </si>
  <si>
    <t>Jüri 19A ehitatav/renditav pind</t>
  </si>
  <si>
    <t>Kreutzwaldi 16 renoveeritav pind</t>
  </si>
  <si>
    <t>Prognoosiperioodi algusaasta</t>
  </si>
  <si>
    <t>Prognoosiperioodi lõppaasta</t>
  </si>
  <si>
    <t>Näitaja</t>
  </si>
  <si>
    <r>
      <rPr>
        <b/>
        <sz val="11"/>
        <color theme="1"/>
        <rFont val="Calibri"/>
        <family val="2"/>
        <scheme val="minor"/>
      </rPr>
      <t>Diskonteerimata väärtus</t>
    </r>
    <r>
      <rPr>
        <sz val="11"/>
        <color theme="1"/>
        <rFont val="Calibri"/>
        <family val="2"/>
        <scheme val="minor"/>
      </rPr>
      <t xml:space="preserve"> (eur)</t>
    </r>
  </si>
  <si>
    <r>
      <rPr>
        <b/>
        <sz val="11"/>
        <color theme="1"/>
        <rFont val="Calibri"/>
        <family val="2"/>
        <scheme val="minor"/>
      </rPr>
      <t>Diskonteeritud väärtus</t>
    </r>
    <r>
      <rPr>
        <sz val="11"/>
        <color theme="1"/>
        <rFont val="Calibri"/>
        <family val="2"/>
        <scheme val="minor"/>
      </rPr>
      <t xml:space="preserve"> (eur)</t>
    </r>
  </si>
  <si>
    <t>Projekti elluviimise kulud</t>
  </si>
  <si>
    <t>Projekti vara jääkväärtus</t>
  </si>
  <si>
    <t>Projekti tegevustulud</t>
  </si>
  <si>
    <t>Projekti tegevuskulud</t>
  </si>
  <si>
    <t>Projekti puhastulu</t>
  </si>
  <si>
    <t>Finantseerimisvajak</t>
  </si>
  <si>
    <t>Finantseerimisvajaku määr</t>
  </si>
  <si>
    <t>Abikõlblikud projekti elluviimise kulud</t>
  </si>
  <si>
    <r>
      <t xml:space="preserve">Toetustaotluse rahuldamise otsuses või programmis määratletud projekti abikõlblikud kulud, nn </t>
    </r>
    <r>
      <rPr>
        <b/>
        <sz val="11"/>
        <color theme="1"/>
        <rFont val="Calibri"/>
        <family val="2"/>
        <scheme val="minor"/>
      </rPr>
      <t>vähendatud abikõlblikud kulud</t>
    </r>
  </si>
  <si>
    <t>Toetuse määr</t>
  </si>
  <si>
    <t>Toetuse suurus</t>
  </si>
  <si>
    <t>Tegevustulud kokku</t>
  </si>
  <si>
    <t>Tegevuskulud kokku</t>
  </si>
  <si>
    <t>Ärikasum enne kulumit</t>
  </si>
  <si>
    <t>Toetusmäär</t>
  </si>
  <si>
    <t>Kokkuvõte</t>
  </si>
  <si>
    <t>Toetususmma</t>
  </si>
  <si>
    <t>KULUD KOKKU</t>
  </si>
  <si>
    <t>Arvutiliising</t>
  </si>
  <si>
    <t>Ruumide rent</t>
  </si>
  <si>
    <t>Projekti eeldused</t>
  </si>
  <si>
    <t>Kooli eelarve</t>
  </si>
  <si>
    <t>Kooli renoveerimise maksumus</t>
  </si>
  <si>
    <t>Kokku (KM-ga)</t>
  </si>
  <si>
    <t>Projekti maksumus kokku (kool + variant B + muud kulud)</t>
  </si>
  <si>
    <t>Perioodi pikkus (aastat)</t>
  </si>
  <si>
    <t>Muud kulud (turundus, personal, üritused)</t>
  </si>
  <si>
    <t>Keskmine THI</t>
  </si>
  <si>
    <t>Keskmine palgakasv</t>
  </si>
  <si>
    <t>Soojusenergia (Jüri 19A)</t>
  </si>
  <si>
    <t>Elekter (Jüri 19A)</t>
  </si>
  <si>
    <t>Soojusenergia (Kreutzwaldi 16)</t>
  </si>
  <si>
    <t>Elekter (Kreutzwaldi 16)</t>
  </si>
  <si>
    <t>RTK toetus</t>
  </si>
  <si>
    <t>Toetused ja annetused</t>
  </si>
  <si>
    <t xml:space="preserve">Tegevustulud </t>
  </si>
  <si>
    <t>Raha sissetulek kokku</t>
  </si>
  <si>
    <t>Tegevuskulud</t>
  </si>
  <si>
    <t>Raha väljaminek kokku</t>
  </si>
  <si>
    <t>Sissetulekute ja väljaminekute vahe</t>
  </si>
  <si>
    <t>Raha jääk kasvavalt</t>
  </si>
  <si>
    <t>Võru linna toetus (investeering)</t>
  </si>
  <si>
    <t>Võru linna toetus (tegevuskulud)</t>
  </si>
  <si>
    <t>Analüüsi tulemused</t>
  </si>
  <si>
    <t>Sotsiaalmajanduslike mõjude analüüs</t>
  </si>
  <si>
    <t>Projektil on positiivne mõju ühiskonnale ja projekt on väärt rahastamist.</t>
  </si>
  <si>
    <t>Tasub ise ehitada, variant A või B. Tasuvaim variant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</si>
</sst>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$&quot;#,##0.00_);[Red]\(&quot;$&quot;#,##0.00\)"/>
    <numFmt numFmtId="164" formatCode="0.0%"/>
    <numFmt numFmtId="165" formatCode="0.0"/>
    <numFmt numFmtId="166" formatCode="0.0000"/>
    <numFmt numFmtId="167" formatCode="#,##0.0"/>
    <numFmt numFmtId="168" formatCode="0.000"/>
    <numFmt numFmtId="169" formatCode="#,##0\ [$€-425]"/>
    <numFmt numFmtId="170" formatCode="#,##0\ [$€-425];[Red]\-#,##0\ [$€-425]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F0"/>
      <name val="Garamond"/>
      <family val="1"/>
      <charset val="186"/>
    </font>
    <font>
      <sz val="10"/>
      <color theme="1"/>
      <name val="Garamond"/>
      <family val="1"/>
      <charset val="186"/>
    </font>
    <font>
      <b/>
      <sz val="10"/>
      <color theme="1"/>
      <name val="Garamond"/>
      <family val="1"/>
      <charset val="186"/>
    </font>
    <font>
      <sz val="10"/>
      <name val="Garamond"/>
      <family val="1"/>
    </font>
    <font>
      <i/>
      <sz val="10"/>
      <name val="Garamond"/>
      <family val="1"/>
      <charset val="186"/>
    </font>
    <font>
      <i/>
      <sz val="10"/>
      <color theme="1"/>
      <name val="Garamond"/>
      <family val="1"/>
      <charset val="186"/>
    </font>
    <font>
      <i/>
      <sz val="10"/>
      <name val="Garamond"/>
      <family val="1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/>
        <bgColor theme="7" tint="0.79998168889431442"/>
      </patternFill>
    </fill>
    <fill>
      <patternFill patternType="solid">
        <fgColor theme="0" tint="-0.34998626667073579"/>
        <bgColor theme="7" tint="0.79998168889431442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70">
    <xf numFmtId="0" fontId="0" fillId="0" borderId="0" xfId="0"/>
    <xf numFmtId="9" fontId="0" fillId="0" borderId="0" xfId="0" applyNumberForma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3" fillId="0" borderId="0" xfId="0" applyFont="1"/>
    <xf numFmtId="10" fontId="0" fillId="0" borderId="0" xfId="0" applyNumberFormat="1"/>
    <xf numFmtId="164" fontId="0" fillId="0" borderId="0" xfId="0" applyNumberFormat="1"/>
    <xf numFmtId="9" fontId="1" fillId="0" borderId="0" xfId="0" applyNumberFormat="1" applyFont="1"/>
    <xf numFmtId="0" fontId="0" fillId="2" borderId="0" xfId="0" applyFill="1"/>
    <xf numFmtId="0" fontId="2" fillId="2" borderId="0" xfId="0" applyFont="1" applyFill="1"/>
    <xf numFmtId="0" fontId="4" fillId="0" borderId="0" xfId="0" applyFont="1" applyAlignment="1">
      <alignment horizontal="left" indent="1"/>
    </xf>
    <xf numFmtId="0" fontId="1" fillId="0" borderId="0" xfId="0" applyFont="1"/>
    <xf numFmtId="0" fontId="6" fillId="0" borderId="0" xfId="1" applyFont="1" applyAlignment="1">
      <alignment horizontal="right"/>
    </xf>
    <xf numFmtId="0" fontId="2" fillId="0" borderId="0" xfId="1" applyFont="1"/>
    <xf numFmtId="0" fontId="2" fillId="0" borderId="0" xfId="1" applyFont="1" applyAlignment="1">
      <alignment wrapText="1"/>
    </xf>
    <xf numFmtId="0" fontId="5" fillId="0" borderId="0" xfId="1"/>
    <xf numFmtId="0" fontId="7" fillId="0" borderId="0" xfId="1" applyFont="1"/>
    <xf numFmtId="165" fontId="0" fillId="0" borderId="0" xfId="0" applyNumberFormat="1"/>
    <xf numFmtId="1" fontId="0" fillId="0" borderId="0" xfId="0" applyNumberFormat="1"/>
    <xf numFmtId="0" fontId="8" fillId="0" borderId="0" xfId="0" applyFont="1"/>
    <xf numFmtId="2" fontId="0" fillId="0" borderId="0" xfId="0" applyNumberFormat="1"/>
    <xf numFmtId="0" fontId="0" fillId="3" borderId="0" xfId="0" applyFill="1"/>
    <xf numFmtId="0" fontId="2" fillId="3" borderId="0" xfId="0" applyFont="1" applyFill="1"/>
    <xf numFmtId="1" fontId="2" fillId="0" borderId="0" xfId="0" applyNumberFormat="1" applyFont="1"/>
    <xf numFmtId="9" fontId="2" fillId="2" borderId="0" xfId="0" applyNumberFormat="1" applyFont="1" applyFill="1"/>
    <xf numFmtId="3" fontId="2" fillId="2" borderId="0" xfId="0" applyNumberFormat="1" applyFont="1" applyFill="1"/>
    <xf numFmtId="0" fontId="2" fillId="0" borderId="2" xfId="0" applyFont="1" applyBorder="1"/>
    <xf numFmtId="1" fontId="0" fillId="0" borderId="1" xfId="0" applyNumberFormat="1" applyBorder="1"/>
    <xf numFmtId="1" fontId="2" fillId="0" borderId="1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/>
    <xf numFmtId="3" fontId="0" fillId="0" borderId="0" xfId="0" applyNumberFormat="1"/>
    <xf numFmtId="3" fontId="0" fillId="0" borderId="1" xfId="0" applyNumberFormat="1" applyBorder="1"/>
    <xf numFmtId="3" fontId="2" fillId="0" borderId="2" xfId="0" applyNumberFormat="1" applyFont="1" applyBorder="1"/>
    <xf numFmtId="0" fontId="11" fillId="0" borderId="0" xfId="1" applyFont="1"/>
    <xf numFmtId="0" fontId="11" fillId="4" borderId="0" xfId="1" applyFont="1" applyFill="1"/>
    <xf numFmtId="0" fontId="11" fillId="0" borderId="3" xfId="1" applyFont="1" applyBorder="1"/>
    <xf numFmtId="0" fontId="11" fillId="0" borderId="4" xfId="1" applyFont="1" applyBorder="1"/>
    <xf numFmtId="0" fontId="11" fillId="0" borderId="5" xfId="1" applyFont="1" applyBorder="1"/>
    <xf numFmtId="0" fontId="11" fillId="4" borderId="5" xfId="1" applyFont="1" applyFill="1" applyBorder="1"/>
    <xf numFmtId="0" fontId="11" fillId="0" borderId="6" xfId="1" applyFont="1" applyBorder="1"/>
    <xf numFmtId="0" fontId="11" fillId="0" borderId="7" xfId="1" applyFont="1" applyBorder="1"/>
    <xf numFmtId="3" fontId="11" fillId="0" borderId="8" xfId="1" applyNumberFormat="1" applyFont="1" applyBorder="1"/>
    <xf numFmtId="3" fontId="11" fillId="0" borderId="9" xfId="1" applyNumberFormat="1" applyFont="1" applyBorder="1"/>
    <xf numFmtId="3" fontId="11" fillId="4" borderId="9" xfId="1" applyNumberFormat="1" applyFont="1" applyFill="1" applyBorder="1"/>
    <xf numFmtId="3" fontId="11" fillId="0" borderId="10" xfId="1" applyNumberFormat="1" applyFont="1" applyBorder="1"/>
    <xf numFmtId="0" fontId="11" fillId="0" borderId="11" xfId="1" applyFont="1" applyBorder="1"/>
    <xf numFmtId="3" fontId="11" fillId="0" borderId="12" xfId="1" applyNumberFormat="1" applyFont="1" applyBorder="1"/>
    <xf numFmtId="3" fontId="11" fillId="0" borderId="13" xfId="1" applyNumberFormat="1" applyFont="1" applyBorder="1"/>
    <xf numFmtId="3" fontId="11" fillId="4" borderId="13" xfId="1" applyNumberFormat="1" applyFont="1" applyFill="1" applyBorder="1"/>
    <xf numFmtId="3" fontId="11" fillId="0" borderId="14" xfId="1" applyNumberFormat="1" applyFont="1" applyBorder="1"/>
    <xf numFmtId="0" fontId="11" fillId="0" borderId="12" xfId="1" applyFont="1" applyBorder="1"/>
    <xf numFmtId="164" fontId="11" fillId="0" borderId="13" xfId="1" applyNumberFormat="1" applyFont="1" applyBorder="1"/>
    <xf numFmtId="164" fontId="11" fillId="4" borderId="13" xfId="1" applyNumberFormat="1" applyFont="1" applyFill="1" applyBorder="1"/>
    <xf numFmtId="164" fontId="11" fillId="0" borderId="14" xfId="1" applyNumberFormat="1" applyFont="1" applyBorder="1"/>
    <xf numFmtId="164" fontId="11" fillId="0" borderId="12" xfId="1" applyNumberFormat="1" applyFont="1" applyBorder="1"/>
    <xf numFmtId="167" fontId="11" fillId="0" borderId="12" xfId="1" applyNumberFormat="1" applyFont="1" applyBorder="1"/>
    <xf numFmtId="167" fontId="11" fillId="0" borderId="13" xfId="1" applyNumberFormat="1" applyFont="1" applyBorder="1"/>
    <xf numFmtId="167" fontId="11" fillId="4" borderId="13" xfId="1" applyNumberFormat="1" applyFont="1" applyFill="1" applyBorder="1"/>
    <xf numFmtId="167" fontId="11" fillId="0" borderId="14" xfId="1" applyNumberFormat="1" applyFont="1" applyBorder="1"/>
    <xf numFmtId="10" fontId="11" fillId="0" borderId="12" xfId="1" applyNumberFormat="1" applyFont="1" applyBorder="1"/>
    <xf numFmtId="164" fontId="13" fillId="0" borderId="13" xfId="1" applyNumberFormat="1" applyFont="1" applyBorder="1"/>
    <xf numFmtId="164" fontId="13" fillId="0" borderId="13" xfId="3" applyNumberFormat="1" applyFont="1" applyFill="1" applyBorder="1"/>
    <xf numFmtId="164" fontId="13" fillId="4" borderId="13" xfId="3" applyNumberFormat="1" applyFont="1" applyFill="1" applyBorder="1"/>
    <xf numFmtId="164" fontId="13" fillId="0" borderId="14" xfId="3" applyNumberFormat="1" applyFont="1" applyFill="1" applyBorder="1"/>
    <xf numFmtId="165" fontId="11" fillId="0" borderId="0" xfId="1" applyNumberFormat="1" applyFont="1"/>
    <xf numFmtId="0" fontId="16" fillId="0" borderId="0" xfId="1" applyFont="1"/>
    <xf numFmtId="0" fontId="13" fillId="0" borderId="0" xfId="1" applyFont="1"/>
    <xf numFmtId="9" fontId="11" fillId="0" borderId="0" xfId="3" applyFont="1"/>
    <xf numFmtId="9" fontId="11" fillId="0" borderId="0" xfId="3" applyFont="1" applyBorder="1"/>
    <xf numFmtId="167" fontId="11" fillId="0" borderId="0" xfId="1" applyNumberFormat="1" applyFont="1"/>
    <xf numFmtId="166" fontId="11" fillId="0" borderId="0" xfId="1" applyNumberFormat="1" applyFont="1"/>
    <xf numFmtId="3" fontId="11" fillId="5" borderId="9" xfId="1" applyNumberFormat="1" applyFont="1" applyFill="1" applyBorder="1"/>
    <xf numFmtId="3" fontId="11" fillId="5" borderId="13" xfId="1" applyNumberFormat="1" applyFont="1" applyFill="1" applyBorder="1"/>
    <xf numFmtId="164" fontId="11" fillId="5" borderId="13" xfId="1" applyNumberFormat="1" applyFont="1" applyFill="1" applyBorder="1"/>
    <xf numFmtId="167" fontId="11" fillId="5" borderId="13" xfId="1" applyNumberFormat="1" applyFont="1" applyFill="1" applyBorder="1"/>
    <xf numFmtId="164" fontId="13" fillId="5" borderId="13" xfId="3" applyNumberFormat="1" applyFont="1" applyFill="1" applyBorder="1"/>
    <xf numFmtId="0" fontId="10" fillId="0" borderId="0" xfId="1" applyFont="1"/>
    <xf numFmtId="0" fontId="12" fillId="0" borderId="19" xfId="1" applyFont="1" applyBorder="1"/>
    <xf numFmtId="0" fontId="13" fillId="0" borderId="15" xfId="1" applyFont="1" applyBorder="1"/>
    <xf numFmtId="167" fontId="13" fillId="0" borderId="16" xfId="1" applyNumberFormat="1" applyFont="1" applyBorder="1"/>
    <xf numFmtId="167" fontId="13" fillId="0" borderId="17" xfId="1" applyNumberFormat="1" applyFont="1" applyBorder="1"/>
    <xf numFmtId="167" fontId="11" fillId="0" borderId="17" xfId="1" applyNumberFormat="1" applyFont="1" applyBorder="1"/>
    <xf numFmtId="3" fontId="11" fillId="0" borderId="17" xfId="1" applyNumberFormat="1" applyFont="1" applyBorder="1"/>
    <xf numFmtId="3" fontId="11" fillId="0" borderId="18" xfId="1" applyNumberFormat="1" applyFont="1" applyBorder="1"/>
    <xf numFmtId="0" fontId="14" fillId="0" borderId="0" xfId="1" applyFont="1"/>
    <xf numFmtId="167" fontId="14" fillId="0" borderId="0" xfId="1" applyNumberFormat="1" applyFont="1"/>
    <xf numFmtId="0" fontId="15" fillId="0" borderId="0" xfId="1" applyFont="1"/>
    <xf numFmtId="3" fontId="11" fillId="4" borderId="17" xfId="1" applyNumberFormat="1" applyFont="1" applyFill="1" applyBorder="1"/>
    <xf numFmtId="167" fontId="14" fillId="4" borderId="0" xfId="1" applyNumberFormat="1" applyFont="1" applyFill="1"/>
    <xf numFmtId="165" fontId="11" fillId="4" borderId="0" xfId="1" applyNumberFormat="1" applyFont="1" applyFill="1"/>
    <xf numFmtId="9" fontId="4" fillId="0" borderId="0" xfId="1" applyNumberFormat="1" applyFont="1"/>
    <xf numFmtId="0" fontId="6" fillId="0" borderId="0" xfId="1" applyFont="1"/>
    <xf numFmtId="0" fontId="4" fillId="0" borderId="0" xfId="1" applyFont="1"/>
    <xf numFmtId="164" fontId="4" fillId="0" borderId="0" xfId="1" applyNumberFormat="1" applyFont="1"/>
    <xf numFmtId="1" fontId="0" fillId="0" borderId="0" xfId="0" applyNumberFormat="1" applyAlignment="1">
      <alignment horizontal="right"/>
    </xf>
    <xf numFmtId="0" fontId="2" fillId="2" borderId="1" xfId="0" applyFont="1" applyFill="1" applyBorder="1"/>
    <xf numFmtId="9" fontId="2" fillId="0" borderId="0" xfId="2" applyFont="1"/>
    <xf numFmtId="0" fontId="7" fillId="2" borderId="1" xfId="0" applyFont="1" applyFill="1" applyBorder="1"/>
    <xf numFmtId="0" fontId="0" fillId="0" borderId="0" xfId="0" applyAlignment="1">
      <alignment horizontal="left"/>
    </xf>
    <xf numFmtId="3" fontId="0" fillId="2" borderId="0" xfId="0" applyNumberFormat="1" applyFill="1"/>
    <xf numFmtId="0" fontId="2" fillId="0" borderId="20" xfId="0" applyFont="1" applyBorder="1"/>
    <xf numFmtId="2" fontId="2" fillId="0" borderId="20" xfId="0" applyNumberFormat="1" applyFont="1" applyBorder="1"/>
    <xf numFmtId="2" fontId="2" fillId="2" borderId="0" xfId="0" applyNumberFormat="1" applyFont="1" applyFill="1"/>
    <xf numFmtId="164" fontId="0" fillId="0" borderId="1" xfId="0" applyNumberFormat="1" applyBorder="1"/>
    <xf numFmtId="2" fontId="0" fillId="0" borderId="1" xfId="0" applyNumberFormat="1" applyBorder="1"/>
    <xf numFmtId="0" fontId="18" fillId="0" borderId="0" xfId="0" applyFont="1"/>
    <xf numFmtId="0" fontId="6" fillId="0" borderId="0" xfId="1" applyFont="1" applyAlignment="1">
      <alignment horizontal="left" indent="1"/>
    </xf>
    <xf numFmtId="2" fontId="5" fillId="0" borderId="0" xfId="1" applyNumberFormat="1"/>
    <xf numFmtId="3" fontId="1" fillId="0" borderId="0" xfId="0" applyNumberFormat="1" applyFont="1"/>
    <xf numFmtId="4" fontId="0" fillId="0" borderId="0" xfId="0" applyNumberFormat="1"/>
    <xf numFmtId="0" fontId="2" fillId="2" borderId="0" xfId="1" applyFont="1" applyFill="1"/>
    <xf numFmtId="0" fontId="9" fillId="0" borderId="0" xfId="1" applyFont="1"/>
    <xf numFmtId="9" fontId="0" fillId="0" borderId="0" xfId="2" applyFont="1"/>
    <xf numFmtId="3" fontId="8" fillId="0" borderId="0" xfId="0" applyNumberFormat="1" applyFont="1"/>
    <xf numFmtId="0" fontId="0" fillId="0" borderId="0" xfId="0" applyAlignment="1">
      <alignment wrapText="1"/>
    </xf>
    <xf numFmtId="0" fontId="0" fillId="0" borderId="2" xfId="0" applyBorder="1"/>
    <xf numFmtId="0" fontId="7" fillId="0" borderId="20" xfId="0" applyFont="1" applyBorder="1"/>
    <xf numFmtId="9" fontId="7" fillId="0" borderId="20" xfId="2" applyFont="1" applyBorder="1"/>
    <xf numFmtId="0" fontId="6" fillId="0" borderId="1" xfId="1" applyFont="1" applyBorder="1" applyAlignment="1">
      <alignment horizontal="left" indent="1"/>
    </xf>
    <xf numFmtId="2" fontId="5" fillId="0" borderId="1" xfId="1" applyNumberFormat="1" applyBorder="1"/>
    <xf numFmtId="0" fontId="2" fillId="0" borderId="1" xfId="1" applyFont="1" applyBorder="1"/>
    <xf numFmtId="0" fontId="2" fillId="2" borderId="0" xfId="1" applyFont="1" applyFill="1" applyAlignment="1">
      <alignment wrapText="1"/>
    </xf>
    <xf numFmtId="0" fontId="2" fillId="0" borderId="0" xfId="0" applyFont="1" applyAlignment="1">
      <alignment horizontal="left"/>
    </xf>
    <xf numFmtId="164" fontId="0" fillId="0" borderId="0" xfId="2" applyNumberFormat="1" applyFont="1"/>
    <xf numFmtId="164" fontId="4" fillId="0" borderId="0" xfId="2" applyNumberFormat="1" applyFont="1"/>
    <xf numFmtId="0" fontId="0" fillId="0" borderId="0" xfId="0" applyAlignment="1">
      <alignment horizontal="center" vertical="center"/>
    </xf>
    <xf numFmtId="0" fontId="19" fillId="0" borderId="13" xfId="0" applyFont="1" applyBorder="1" applyAlignment="1">
      <alignment horizontal="left" vertical="center" indent="1"/>
    </xf>
    <xf numFmtId="0" fontId="19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169" fontId="0" fillId="0" borderId="13" xfId="0" applyNumberFormat="1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169" fontId="0" fillId="6" borderId="13" xfId="0" applyNumberForma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 indent="1"/>
    </xf>
    <xf numFmtId="0" fontId="0" fillId="8" borderId="13" xfId="0" applyFill="1" applyBorder="1" applyAlignment="1">
      <alignment horizontal="center" vertical="center" wrapText="1"/>
    </xf>
    <xf numFmtId="9" fontId="8" fillId="0" borderId="13" xfId="2" applyFont="1" applyBorder="1" applyAlignment="1">
      <alignment horizontal="center" vertical="center"/>
    </xf>
    <xf numFmtId="9" fontId="8" fillId="0" borderId="13" xfId="0" applyNumberFormat="1" applyFont="1" applyBorder="1" applyAlignment="1">
      <alignment horizontal="center" vertical="center"/>
    </xf>
    <xf numFmtId="8" fontId="0" fillId="0" borderId="0" xfId="0" applyNumberFormat="1"/>
    <xf numFmtId="3" fontId="0" fillId="0" borderId="2" xfId="0" applyNumberFormat="1" applyBorder="1"/>
    <xf numFmtId="9" fontId="9" fillId="0" borderId="13" xfId="2" applyBorder="1" applyAlignment="1">
      <alignment horizontal="center" vertical="center"/>
    </xf>
    <xf numFmtId="0" fontId="0" fillId="8" borderId="12" xfId="0" applyFill="1" applyBorder="1" applyAlignment="1">
      <alignment horizontal="left" vertical="center" indent="1"/>
    </xf>
    <xf numFmtId="0" fontId="2" fillId="8" borderId="12" xfId="0" applyFont="1" applyFill="1" applyBorder="1" applyAlignment="1">
      <alignment horizontal="left" vertical="center" wrapText="1" indent="1"/>
    </xf>
    <xf numFmtId="0" fontId="0" fillId="8" borderId="1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1" fontId="2" fillId="2" borderId="1" xfId="0" applyNumberFormat="1" applyFont="1" applyFill="1" applyBorder="1"/>
    <xf numFmtId="3" fontId="8" fillId="2" borderId="0" xfId="0" applyNumberFormat="1" applyFont="1" applyFill="1"/>
    <xf numFmtId="3" fontId="1" fillId="0" borderId="1" xfId="0" applyNumberFormat="1" applyFont="1" applyBorder="1"/>
    <xf numFmtId="9" fontId="0" fillId="0" borderId="0" xfId="2" applyFont="1" applyAlignment="1">
      <alignment horizontal="center"/>
    </xf>
    <xf numFmtId="168" fontId="0" fillId="0" borderId="0" xfId="0" applyNumberFormat="1"/>
    <xf numFmtId="164" fontId="6" fillId="0" borderId="0" xfId="1" applyNumberFormat="1" applyFont="1"/>
    <xf numFmtId="3" fontId="4" fillId="0" borderId="0" xfId="0" applyNumberFormat="1" applyFont="1" applyAlignment="1">
      <alignment horizontal="left" indent="1"/>
    </xf>
    <xf numFmtId="3" fontId="0" fillId="0" borderId="0" xfId="0" applyNumberFormat="1" applyAlignment="1">
      <alignment horizontal="right"/>
    </xf>
    <xf numFmtId="0" fontId="0" fillId="7" borderId="13" xfId="0" applyFill="1" applyBorder="1" applyAlignment="1">
      <alignment horizontal="left" vertical="center" indent="1"/>
    </xf>
    <xf numFmtId="0" fontId="0" fillId="7" borderId="13" xfId="0" applyFill="1" applyBorder="1" applyAlignment="1">
      <alignment horizontal="center" vertical="center"/>
    </xf>
    <xf numFmtId="1" fontId="8" fillId="0" borderId="0" xfId="0" applyNumberFormat="1" applyFont="1"/>
    <xf numFmtId="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9" fontId="0" fillId="0" borderId="0" xfId="2" applyFont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</cellXfs>
  <cellStyles count="4">
    <cellStyle name="Normal" xfId="0" builtinId="0"/>
    <cellStyle name="Normal 2" xfId="1" xr:uid="{7542D928-8D5A-4222-B363-09F5F1839D5C}"/>
    <cellStyle name="Percent" xfId="2" builtinId="5"/>
    <cellStyle name="Percent 2" xfId="3" xr:uid="{A9850A74-BD8B-4034-A87F-C0C51D4C7F16}"/>
  </cellStyles>
  <dxfs count="0"/>
  <tableStyles count="0" defaultTableStyle="TableStyleMedium2" defaultPivotStyle="PivotStyleLight16"/>
  <colors>
    <mruColors>
      <color rgb="FFCCFF66"/>
      <color rgb="FFE3F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149225</xdr:colOff>
      <xdr:row>13</xdr:row>
      <xdr:rowOff>66675</xdr:rowOff>
    </xdr:from>
    <xdr:to>
      <xdr:col>5</xdr:col>
      <xdr:colOff>66675</xdr:colOff>
      <xdr:row>15</xdr:row>
      <xdr:rowOff>92075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4E8F8D68-7625-1597-270F-69EBDE664C94}"/>
            </a:ext>
          </a:extLst>
        </xdr:cNvPr>
        <xdr:cNvSpPr/>
      </xdr:nvSpPr>
      <xdr:spPr>
        <a:xfrm>
          <a:off x="6397625" y="2419350"/>
          <a:ext cx="527050" cy="38735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165100</xdr:colOff>
      <xdr:row>24</xdr:row>
      <xdr:rowOff>0</xdr:rowOff>
    </xdr:from>
    <xdr:to>
      <xdr:col>5</xdr:col>
      <xdr:colOff>82550</xdr:colOff>
      <xdr:row>26</xdr:row>
      <xdr:rowOff>25400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2A2C9050-C5B5-490D-A77C-F2DAAA08C3FD}"/>
            </a:ext>
          </a:extLst>
        </xdr:cNvPr>
        <xdr:cNvSpPr/>
      </xdr:nvSpPr>
      <xdr:spPr>
        <a:xfrm>
          <a:off x="6623050" y="4235450"/>
          <a:ext cx="527050" cy="393700"/>
        </a:xfrm>
        <a:prstGeom prst="right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s Tammets" id="{59FDC5A8-6AE0-455B-94F9-2D99ECE1E7DE}" userId="S::maris.tammets@civitta.ee::d70560a7-b454-4c2c-bb78-c994a21a680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3" dT="2023-03-09T12:36:13.25" personId="{59FDC5A8-6AE0-455B-94F9-2D99ECE1E7DE}" id="{57DA5782-EFF1-4177-87F8-7BE2DCB29D73}">
    <text>3 aasta keskmine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7" dT="2023-03-31T12:34:02.10" personId="{59FDC5A8-6AE0-455B-94F9-2D99ECE1E7DE}" id="{3FB0D80F-5CC9-43BB-B1D5-F399B8436492}">
    <text>PA004: KESKMINE BRUTOPALK, TÖÖJÕUKULU JA TÖÖTATUD TUNNID MAAKONNA JÄRGI (KVARTALID). 2022</text>
  </threadedComment>
  <threadedComment ref="B43" dT="2023-03-31T10:58:15.88" personId="{59FDC5A8-6AE0-455B-94F9-2D99ECE1E7DE}" id="{18FB6A1F-EE09-4ABB-BA7B-A66C1E6404DB}">
    <text>VK12: KAUPADE EKSPORT, IMPORT JA NENDE MUUTUS RIIGI JÄRGI</text>
  </threadedComment>
  <threadedComment ref="B44" dT="2023-03-31T10:58:24.77" personId="{59FDC5A8-6AE0-455B-94F9-2D99ECE1E7DE}" id="{DBADAF96-7E0E-482B-AC7C-6AA74B8D5595}">
    <text>VK12: KAUPADE EKSPORT, IMPORT JA NENDE MUUTUS RIIGI JÄRGI</text>
  </threadedComment>
  <threadedComment ref="B45" dT="2023-03-31T10:59:42.73" personId="{59FDC5A8-6AE0-455B-94F9-2D99ECE1E7DE}" id="{6815F364-E13D-42CE-8C29-7D80D23D111D}">
    <text>RR0295: MAKSUD JA SOTSIAALMAKSED RAHVAMAJANDUSE ARVEPIDAMISES SEKTORI JÄRGI (ESA 2010)</text>
  </threadedComment>
  <threadedComment ref="B51" dT="2023-03-31T10:12:27.08" personId="{59FDC5A8-6AE0-455B-94F9-2D99ECE1E7DE}" id="{57025DBC-EEC1-4C46-B729-7D19AAB1772B}">
    <text>TT4645: 15-74-AASTASTE HÕIVESEISUND PIIRKONNA, MAAKONNA JA VANUSERÜHMA JÄRGI</text>
  </threadedComment>
  <threadedComment ref="D56" dT="2023-04-03T10:32:23.21" personId="{59FDC5A8-6AE0-455B-94F9-2D99ECE1E7DE}" id="{3CCC94A6-96F9-418C-A29C-24F455B074C5}">
    <text>Jaemüük spetsialiseerimata kauplustes, kus on ülekaalus toidukaubad, joogid ja tubakatooted</text>
  </threadedComment>
  <threadedComment ref="B57" dT="2023-04-13T13:22:45.99" personId="{59FDC5A8-6AE0-455B-94F9-2D99ECE1E7DE}" id="{E8129C07-E412-4FC9-9C13-E19A96587561}">
    <text>EM026: ETTEVÕTETE AASTASTATISTIKA KVALITEEDINÄITAJAD TEGEVUSALA JÄRGI</text>
  </threadedComment>
  <threadedComment ref="B58" dT="2023-04-13T13:23:09.24" personId="{59FDC5A8-6AE0-455B-94F9-2D99ECE1E7DE}" id="{1ABE54D5-4FF8-4C3E-9F5A-0D4F10D6D2A6}">
    <text>EM026: ETTEVÕTETE AASTASTATISTIKA KVALITEEDINÄITAJAD TEGEVUSALA JÄRGI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E1777-BD1C-43D6-9703-C82FCEB60FB1}">
  <dimension ref="B3:I26"/>
  <sheetViews>
    <sheetView tabSelected="1" workbookViewId="0">
      <selection activeCell="G7" sqref="G7"/>
    </sheetView>
  </sheetViews>
  <sheetFormatPr defaultRowHeight="14.5" x14ac:dyDescent="0.35"/>
  <cols>
    <col min="2" max="2" width="49.1796875" customWidth="1"/>
    <col min="3" max="3" width="12.453125" customWidth="1"/>
    <col min="4" max="4" width="22.08984375" bestFit="1" customWidth="1"/>
    <col min="6" max="6" width="5.26953125" customWidth="1"/>
    <col min="7" max="7" width="17.6328125" customWidth="1"/>
  </cols>
  <sheetData>
    <row r="3" spans="2:7" x14ac:dyDescent="0.35">
      <c r="B3" s="23" t="s">
        <v>251</v>
      </c>
      <c r="C3" s="22"/>
      <c r="D3" s="22"/>
    </row>
    <row r="4" spans="2:7" x14ac:dyDescent="0.35">
      <c r="B4" s="97" t="s">
        <v>194</v>
      </c>
      <c r="C4" s="158"/>
      <c r="D4" s="158"/>
    </row>
    <row r="5" spans="2:7" x14ac:dyDescent="0.35">
      <c r="B5" t="s">
        <v>195</v>
      </c>
      <c r="C5" s="32">
        <f>Eelarve_kool!C11</f>
        <v>2143323</v>
      </c>
      <c r="D5" t="s">
        <v>110</v>
      </c>
    </row>
    <row r="6" spans="2:7" x14ac:dyDescent="0.35">
      <c r="B6" t="s">
        <v>47</v>
      </c>
      <c r="C6" s="32">
        <f>Tasuvus_kool!C40</f>
        <v>-2371784.4618573403</v>
      </c>
      <c r="D6" t="s">
        <v>110</v>
      </c>
    </row>
    <row r="7" spans="2:7" x14ac:dyDescent="0.35">
      <c r="B7" s="2"/>
    </row>
    <row r="8" spans="2:7" x14ac:dyDescent="0.35">
      <c r="B8" s="97" t="s">
        <v>10</v>
      </c>
      <c r="C8" s="158"/>
      <c r="D8" s="158"/>
    </row>
    <row r="9" spans="2:7" x14ac:dyDescent="0.35">
      <c r="B9" t="s">
        <v>196</v>
      </c>
    </row>
    <row r="10" spans="2:7" x14ac:dyDescent="0.35">
      <c r="B10" s="100" t="s">
        <v>199</v>
      </c>
      <c r="C10" s="32">
        <f>Tasuvus_majutus!C10</f>
        <v>266040</v>
      </c>
      <c r="D10" t="s">
        <v>110</v>
      </c>
    </row>
    <row r="11" spans="2:7" x14ac:dyDescent="0.35">
      <c r="B11" s="100" t="s">
        <v>198</v>
      </c>
      <c r="C11" s="32">
        <f>Tasuvus_majutus!J10</f>
        <v>219600</v>
      </c>
      <c r="D11" t="s">
        <v>110</v>
      </c>
    </row>
    <row r="12" spans="2:7" x14ac:dyDescent="0.35">
      <c r="C12" s="32"/>
    </row>
    <row r="13" spans="2:7" x14ac:dyDescent="0.35">
      <c r="B13" s="4" t="s">
        <v>155</v>
      </c>
      <c r="C13" s="4" t="s">
        <v>157</v>
      </c>
      <c r="D13" s="4" t="s">
        <v>158</v>
      </c>
    </row>
    <row r="14" spans="2:7" ht="14.5" customHeight="1" x14ac:dyDescent="0.35">
      <c r="B14" s="100" t="s">
        <v>199</v>
      </c>
      <c r="C14" s="32">
        <f>Tasuvus_majutus!C49</f>
        <v>-684279.70132010709</v>
      </c>
      <c r="D14" s="32">
        <f>Tasuvus_majutus!F26</f>
        <v>-55585.914232254538</v>
      </c>
      <c r="G14" s="159" t="s">
        <v>254</v>
      </c>
    </row>
    <row r="15" spans="2:7" x14ac:dyDescent="0.35">
      <c r="B15" s="124" t="s">
        <v>198</v>
      </c>
      <c r="C15" s="30">
        <f>Tasuvus_majutus!C77</f>
        <v>-167299.40934155733</v>
      </c>
      <c r="D15" s="30">
        <f>Tasuvus_majutus!F55</f>
        <v>-9130.5118584734009</v>
      </c>
      <c r="G15" s="159"/>
    </row>
    <row r="16" spans="2:7" x14ac:dyDescent="0.35">
      <c r="B16" s="100" t="s">
        <v>156</v>
      </c>
      <c r="C16" s="32">
        <f>Tasuvus_majutus!C106</f>
        <v>-1084094.7476749001</v>
      </c>
      <c r="D16" s="32">
        <f>Tasuvus_majutus!F84</f>
        <v>-88063.985454545444</v>
      </c>
      <c r="G16" s="159"/>
    </row>
    <row r="18" spans="2:9" x14ac:dyDescent="0.35">
      <c r="B18" s="97" t="s">
        <v>223</v>
      </c>
      <c r="C18" s="158"/>
      <c r="D18" s="158"/>
    </row>
    <row r="19" spans="2:9" x14ac:dyDescent="0.35">
      <c r="B19" t="s">
        <v>232</v>
      </c>
      <c r="C19" s="32">
        <f>Tasuvus_kokku!F6</f>
        <v>2962923</v>
      </c>
      <c r="D19" s="100" t="s">
        <v>110</v>
      </c>
    </row>
    <row r="20" spans="2:9" x14ac:dyDescent="0.35">
      <c r="B20" t="s">
        <v>213</v>
      </c>
      <c r="C20" s="114">
        <f>Tasuvus_kokku!D38</f>
        <v>1</v>
      </c>
      <c r="D20" s="100"/>
    </row>
    <row r="21" spans="2:9" x14ac:dyDescent="0.35">
      <c r="B21" s="2" t="s">
        <v>222</v>
      </c>
      <c r="C21" s="157">
        <f>Tasuvus_kokku!C41</f>
        <v>0.75</v>
      </c>
      <c r="D21" s="100"/>
    </row>
    <row r="22" spans="2:9" x14ac:dyDescent="0.35">
      <c r="B22" t="s">
        <v>224</v>
      </c>
      <c r="C22" s="32">
        <f>Tasuvus_kokku!C42</f>
        <v>2222192.25</v>
      </c>
      <c r="D22" s="100" t="s">
        <v>110</v>
      </c>
    </row>
    <row r="24" spans="2:9" x14ac:dyDescent="0.35">
      <c r="B24" s="97" t="s">
        <v>252</v>
      </c>
      <c r="C24" s="158"/>
      <c r="D24" s="158"/>
    </row>
    <row r="25" spans="2:9" ht="14.5" customHeight="1" x14ac:dyDescent="0.35">
      <c r="B25" t="s">
        <v>66</v>
      </c>
      <c r="C25" s="1">
        <f>'Sots.mõju analüüs'!D29</f>
        <v>0.29376619396937076</v>
      </c>
      <c r="G25" s="160" t="s">
        <v>253</v>
      </c>
      <c r="H25" s="160"/>
      <c r="I25" s="160"/>
    </row>
    <row r="26" spans="2:9" x14ac:dyDescent="0.35">
      <c r="B26" t="s">
        <v>67</v>
      </c>
      <c r="C26" s="32">
        <f>'Sots.mõju analüüs'!D30</f>
        <v>14429300.539293466</v>
      </c>
      <c r="D26" t="s">
        <v>110</v>
      </c>
      <c r="G26" s="160"/>
      <c r="H26" s="160"/>
      <c r="I26" s="160"/>
    </row>
  </sheetData>
  <mergeCells count="2">
    <mergeCell ref="G14:G16"/>
    <mergeCell ref="G25:I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CF50-DCBA-4B2C-AAAE-DA6D29C52A03}">
  <dimension ref="B2:H50"/>
  <sheetViews>
    <sheetView workbookViewId="0">
      <selection activeCell="D6" sqref="D6"/>
    </sheetView>
  </sheetViews>
  <sheetFormatPr defaultRowHeight="14.5" x14ac:dyDescent="0.35"/>
  <cols>
    <col min="2" max="2" width="29.6328125" customWidth="1"/>
    <col min="4" max="4" width="10.453125" customWidth="1"/>
  </cols>
  <sheetData>
    <row r="2" spans="2:7" x14ac:dyDescent="0.35">
      <c r="B2" s="23" t="s">
        <v>228</v>
      </c>
      <c r="C2" s="22"/>
      <c r="D2" s="22"/>
    </row>
    <row r="3" spans="2:7" x14ac:dyDescent="0.35">
      <c r="B3" s="3" t="s">
        <v>0</v>
      </c>
      <c r="C3" s="4" t="s">
        <v>76</v>
      </c>
      <c r="D3" s="4"/>
    </row>
    <row r="4" spans="2:7" x14ac:dyDescent="0.35">
      <c r="B4" t="s">
        <v>3</v>
      </c>
      <c r="C4" s="1" t="s">
        <v>4</v>
      </c>
      <c r="D4" s="1">
        <f>Makro!B28</f>
        <v>1.9259090909090917E-2</v>
      </c>
    </row>
    <row r="5" spans="2:7" x14ac:dyDescent="0.35">
      <c r="B5" t="s">
        <v>12</v>
      </c>
      <c r="C5" s="1" t="s">
        <v>4</v>
      </c>
      <c r="D5" s="1">
        <f>Makro!B31</f>
        <v>4.1094576134499031E-2</v>
      </c>
    </row>
    <row r="6" spans="2:7" x14ac:dyDescent="0.35">
      <c r="B6" t="s">
        <v>58</v>
      </c>
      <c r="C6" s="1" t="s">
        <v>4</v>
      </c>
      <c r="D6" s="1">
        <v>0.2</v>
      </c>
    </row>
    <row r="7" spans="2:7" x14ac:dyDescent="0.35">
      <c r="B7" t="s">
        <v>59</v>
      </c>
      <c r="C7" s="1" t="s">
        <v>4</v>
      </c>
      <c r="D7" s="1">
        <v>0.2</v>
      </c>
    </row>
    <row r="8" spans="2:7" x14ac:dyDescent="0.35">
      <c r="B8" t="s">
        <v>147</v>
      </c>
      <c r="C8" t="s">
        <v>4</v>
      </c>
      <c r="D8" s="1">
        <f>Makro!B29</f>
        <v>6.0029454545454497E-2</v>
      </c>
    </row>
    <row r="9" spans="2:7" x14ac:dyDescent="0.35">
      <c r="B9" t="s">
        <v>7</v>
      </c>
      <c r="C9" t="s">
        <v>8</v>
      </c>
      <c r="D9">
        <v>20</v>
      </c>
    </row>
    <row r="12" spans="2:7" x14ac:dyDescent="0.35">
      <c r="B12" s="3" t="s">
        <v>13</v>
      </c>
      <c r="C12" s="4"/>
      <c r="D12" s="4"/>
    </row>
    <row r="13" spans="2:7" x14ac:dyDescent="0.35">
      <c r="B13" s="20" t="s">
        <v>161</v>
      </c>
      <c r="C13" s="20" t="s">
        <v>74</v>
      </c>
      <c r="D13" s="20">
        <v>100</v>
      </c>
    </row>
    <row r="14" spans="2:7" x14ac:dyDescent="0.35">
      <c r="B14" s="2" t="s">
        <v>1</v>
      </c>
    </row>
    <row r="15" spans="2:7" x14ac:dyDescent="0.35">
      <c r="B15" t="s">
        <v>98</v>
      </c>
      <c r="C15" t="s">
        <v>75</v>
      </c>
      <c r="D15" s="32">
        <v>3500</v>
      </c>
      <c r="G15" s="1"/>
    </row>
    <row r="16" spans="2:7" x14ac:dyDescent="0.35">
      <c r="B16" t="s">
        <v>99</v>
      </c>
      <c r="C16" t="s">
        <v>100</v>
      </c>
      <c r="D16" s="20">
        <f>80%*50</f>
        <v>40</v>
      </c>
    </row>
    <row r="17" spans="2:8" x14ac:dyDescent="0.35">
      <c r="B17" t="s">
        <v>227</v>
      </c>
      <c r="C17" s="20" t="s">
        <v>84</v>
      </c>
      <c r="D17" s="20">
        <v>60</v>
      </c>
    </row>
    <row r="19" spans="2:8" x14ac:dyDescent="0.35">
      <c r="B19" s="2" t="s">
        <v>2</v>
      </c>
    </row>
    <row r="20" spans="2:8" x14ac:dyDescent="0.35">
      <c r="B20" t="s">
        <v>82</v>
      </c>
      <c r="C20" t="s">
        <v>77</v>
      </c>
      <c r="D20" s="156">
        <v>955.4</v>
      </c>
      <c r="F20" s="12"/>
    </row>
    <row r="21" spans="2:8" x14ac:dyDescent="0.35">
      <c r="B21" t="s">
        <v>81</v>
      </c>
      <c r="C21" t="s">
        <v>80</v>
      </c>
      <c r="D21" s="115">
        <v>2280</v>
      </c>
    </row>
    <row r="22" spans="2:8" x14ac:dyDescent="0.35">
      <c r="B22" s="20" t="s">
        <v>105</v>
      </c>
      <c r="C22" s="20" t="s">
        <v>74</v>
      </c>
      <c r="D22" s="20">
        <v>3</v>
      </c>
    </row>
    <row r="23" spans="2:8" x14ac:dyDescent="0.35">
      <c r="B23" s="20" t="s">
        <v>101</v>
      </c>
      <c r="C23" s="20" t="s">
        <v>75</v>
      </c>
      <c r="D23" s="115">
        <v>15000</v>
      </c>
    </row>
    <row r="24" spans="2:8" x14ac:dyDescent="0.35">
      <c r="B24" t="s">
        <v>102</v>
      </c>
      <c r="C24" t="s">
        <v>73</v>
      </c>
      <c r="D24" s="20">
        <f>0.5*(1+D6)</f>
        <v>0.6</v>
      </c>
      <c r="F24" s="12"/>
      <c r="H24" s="19"/>
    </row>
    <row r="25" spans="2:8" x14ac:dyDescent="0.35">
      <c r="B25" t="s">
        <v>103</v>
      </c>
      <c r="C25" t="s">
        <v>104</v>
      </c>
      <c r="D25">
        <v>600</v>
      </c>
    </row>
    <row r="26" spans="2:8" x14ac:dyDescent="0.35">
      <c r="B26" t="s">
        <v>226</v>
      </c>
      <c r="C26" t="s">
        <v>104</v>
      </c>
      <c r="D26">
        <v>175</v>
      </c>
    </row>
    <row r="27" spans="2:8" x14ac:dyDescent="0.35">
      <c r="B27" s="20" t="s">
        <v>86</v>
      </c>
      <c r="C27" t="s">
        <v>73</v>
      </c>
      <c r="D27">
        <v>0.6</v>
      </c>
      <c r="E27" s="21"/>
    </row>
    <row r="28" spans="2:8" x14ac:dyDescent="0.35">
      <c r="B28" s="20" t="s">
        <v>85</v>
      </c>
      <c r="C28" t="s">
        <v>73</v>
      </c>
      <c r="D28">
        <v>0.78</v>
      </c>
      <c r="E28" s="21"/>
      <c r="H28" s="19"/>
    </row>
    <row r="29" spans="2:8" x14ac:dyDescent="0.35">
      <c r="B29" s="20" t="s">
        <v>15</v>
      </c>
      <c r="C29" t="s">
        <v>73</v>
      </c>
      <c r="D29">
        <v>0.5</v>
      </c>
      <c r="H29" s="19"/>
    </row>
    <row r="30" spans="2:8" x14ac:dyDescent="0.35">
      <c r="B30" s="20" t="s">
        <v>87</v>
      </c>
      <c r="C30" t="s">
        <v>73</v>
      </c>
      <c r="D30">
        <v>0.12</v>
      </c>
      <c r="H30" s="19"/>
    </row>
    <row r="32" spans="2:8" x14ac:dyDescent="0.35">
      <c r="B32" s="3" t="s">
        <v>14</v>
      </c>
      <c r="C32" s="4"/>
      <c r="D32" s="4"/>
    </row>
    <row r="33" spans="2:6" x14ac:dyDescent="0.35">
      <c r="B33" t="s">
        <v>16</v>
      </c>
      <c r="C33" t="s">
        <v>73</v>
      </c>
      <c r="D33">
        <v>420</v>
      </c>
    </row>
    <row r="34" spans="2:6" x14ac:dyDescent="0.35">
      <c r="B34" t="s">
        <v>201</v>
      </c>
      <c r="C34" t="s">
        <v>77</v>
      </c>
      <c r="D34">
        <v>350</v>
      </c>
    </row>
    <row r="35" spans="2:6" x14ac:dyDescent="0.35">
      <c r="B35" t="s">
        <v>202</v>
      </c>
      <c r="C35" t="s">
        <v>77</v>
      </c>
      <c r="D35">
        <v>130</v>
      </c>
    </row>
    <row r="36" spans="2:6" x14ac:dyDescent="0.35">
      <c r="B36" t="s">
        <v>68</v>
      </c>
      <c r="C36" t="s">
        <v>74</v>
      </c>
      <c r="D36">
        <v>30</v>
      </c>
    </row>
    <row r="37" spans="2:6" x14ac:dyDescent="0.35">
      <c r="B37" t="s">
        <v>70</v>
      </c>
      <c r="C37" t="s">
        <v>106</v>
      </c>
      <c r="D37" s="96">
        <f>240</f>
        <v>240</v>
      </c>
    </row>
    <row r="38" spans="2:6" x14ac:dyDescent="0.35">
      <c r="B38" t="s">
        <v>114</v>
      </c>
      <c r="C38" t="s">
        <v>79</v>
      </c>
      <c r="D38">
        <f>2*(1+D6)</f>
        <v>2.4</v>
      </c>
    </row>
    <row r="39" spans="2:6" x14ac:dyDescent="0.35">
      <c r="B39" t="s">
        <v>113</v>
      </c>
      <c r="C39" t="s">
        <v>79</v>
      </c>
      <c r="D39">
        <f>6*(1+D6)</f>
        <v>7.1999999999999993</v>
      </c>
    </row>
    <row r="40" spans="2:6" x14ac:dyDescent="0.35">
      <c r="B40" t="s">
        <v>115</v>
      </c>
      <c r="C40" t="s">
        <v>79</v>
      </c>
      <c r="D40">
        <f>1.9*(1+D6)</f>
        <v>2.2799999999999998</v>
      </c>
    </row>
    <row r="41" spans="2:6" x14ac:dyDescent="0.35">
      <c r="B41" t="s">
        <v>88</v>
      </c>
      <c r="C41" t="s">
        <v>91</v>
      </c>
      <c r="D41" s="18">
        <f>89.91*(1+D6)</f>
        <v>107.892</v>
      </c>
      <c r="E41" s="21">
        <f>D41*D42/D34/12</f>
        <v>1.3871828571428571</v>
      </c>
      <c r="F41" s="21"/>
    </row>
    <row r="42" spans="2:6" x14ac:dyDescent="0.35">
      <c r="B42" t="s">
        <v>237</v>
      </c>
      <c r="C42" t="s">
        <v>96</v>
      </c>
      <c r="D42">
        <v>54</v>
      </c>
      <c r="E42" s="21"/>
    </row>
    <row r="43" spans="2:6" x14ac:dyDescent="0.35">
      <c r="B43" t="s">
        <v>89</v>
      </c>
      <c r="C43" t="s">
        <v>94</v>
      </c>
      <c r="D43" s="150">
        <f>0.148*(1+D6)</f>
        <v>0.17759999999999998</v>
      </c>
      <c r="E43" s="21">
        <f>D43*D44/D34/12</f>
        <v>1.0148571428571429</v>
      </c>
      <c r="F43" s="21"/>
    </row>
    <row r="44" spans="2:6" x14ac:dyDescent="0.35">
      <c r="B44" t="s">
        <v>238</v>
      </c>
      <c r="C44" t="s">
        <v>95</v>
      </c>
      <c r="D44" s="32">
        <v>24000</v>
      </c>
      <c r="E44" s="21"/>
    </row>
    <row r="45" spans="2:6" x14ac:dyDescent="0.35">
      <c r="B45" t="s">
        <v>90</v>
      </c>
      <c r="C45" t="s">
        <v>92</v>
      </c>
      <c r="D45" s="18">
        <f>(1.38+2.23)*(1+D6)</f>
        <v>4.3319999999999999</v>
      </c>
      <c r="E45" s="21">
        <f>D46*D45/D34/12</f>
        <v>0.74262857142857142</v>
      </c>
      <c r="F45" s="21"/>
    </row>
    <row r="46" spans="2:6" x14ac:dyDescent="0.35">
      <c r="B46" t="s">
        <v>15</v>
      </c>
      <c r="C46" t="s">
        <v>93</v>
      </c>
      <c r="D46">
        <f>2*D36*12</f>
        <v>720</v>
      </c>
    </row>
    <row r="47" spans="2:6" x14ac:dyDescent="0.35">
      <c r="B47" t="s">
        <v>87</v>
      </c>
      <c r="C47" t="s">
        <v>110</v>
      </c>
      <c r="D47">
        <v>0.36</v>
      </c>
      <c r="E47" s="21">
        <f>D47</f>
        <v>0.36</v>
      </c>
    </row>
    <row r="48" spans="2:6" x14ac:dyDescent="0.35">
      <c r="B48" t="s">
        <v>239</v>
      </c>
      <c r="C48" t="s">
        <v>96</v>
      </c>
      <c r="D48">
        <v>29.4</v>
      </c>
      <c r="E48" s="21">
        <f>D48*D41/D35/12</f>
        <v>2.0333492307692307</v>
      </c>
    </row>
    <row r="49" spans="2:5" x14ac:dyDescent="0.35">
      <c r="B49" t="s">
        <v>240</v>
      </c>
      <c r="C49" t="s">
        <v>95</v>
      </c>
      <c r="D49" s="32">
        <f>1910.9*1.5</f>
        <v>2866.3500000000004</v>
      </c>
      <c r="E49" s="21">
        <f>D49*D43/D35/12</f>
        <v>0.32632292307692307</v>
      </c>
    </row>
    <row r="50" spans="2:5" x14ac:dyDescent="0.35">
      <c r="E50" t="s">
        <v>79</v>
      </c>
    </row>
  </sheetData>
  <phoneticPr fontId="17" type="noConversion"/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A2D2A-7664-4AE6-A680-4CBBB2E99AC4}">
  <dimension ref="B2:I17"/>
  <sheetViews>
    <sheetView workbookViewId="0">
      <selection activeCell="E6" sqref="E6"/>
    </sheetView>
  </sheetViews>
  <sheetFormatPr defaultRowHeight="14.5" x14ac:dyDescent="0.35"/>
  <cols>
    <col min="2" max="2" width="28.36328125" bestFit="1" customWidth="1"/>
    <col min="3" max="3" width="8.90625" bestFit="1" customWidth="1"/>
    <col min="4" max="5" width="8.81640625" bestFit="1" customWidth="1"/>
    <col min="6" max="6" width="8.90625" bestFit="1" customWidth="1"/>
    <col min="7" max="7" width="8.81640625" bestFit="1" customWidth="1"/>
  </cols>
  <sheetData>
    <row r="2" spans="2:9" x14ac:dyDescent="0.35">
      <c r="H2" s="12"/>
    </row>
    <row r="3" spans="2:9" x14ac:dyDescent="0.35">
      <c r="B3" s="23" t="s">
        <v>229</v>
      </c>
      <c r="C3" s="23"/>
      <c r="D3" s="23"/>
      <c r="E3" s="23"/>
      <c r="F3" s="23"/>
    </row>
    <row r="4" spans="2:9" x14ac:dyDescent="0.35">
      <c r="B4" s="97" t="s">
        <v>17</v>
      </c>
      <c r="C4" s="97" t="s">
        <v>23</v>
      </c>
      <c r="D4" s="99">
        <v>2023</v>
      </c>
      <c r="E4" s="97">
        <f>D4+1</f>
        <v>2024</v>
      </c>
      <c r="F4" s="97">
        <f t="shared" ref="F4" si="0">E4+1</f>
        <v>2025</v>
      </c>
      <c r="G4" s="2"/>
    </row>
    <row r="5" spans="2:9" x14ac:dyDescent="0.35">
      <c r="B5" t="s">
        <v>18</v>
      </c>
      <c r="C5" s="32">
        <f>SUM(D5:F5)</f>
        <v>84000</v>
      </c>
      <c r="D5" s="32"/>
      <c r="E5" s="32">
        <f>80000*1.05</f>
        <v>84000</v>
      </c>
      <c r="F5" s="32"/>
      <c r="G5" s="32"/>
    </row>
    <row r="6" spans="2:9" x14ac:dyDescent="0.35">
      <c r="B6" t="s">
        <v>19</v>
      </c>
      <c r="C6" s="32">
        <f t="shared" ref="C6:C9" si="1">SUM(D6:F6)</f>
        <v>1471050</v>
      </c>
      <c r="D6" s="32"/>
      <c r="E6" s="32"/>
      <c r="F6" s="32">
        <f>1401000*1.05</f>
        <v>1471050</v>
      </c>
      <c r="G6" s="32"/>
    </row>
    <row r="7" spans="2:9" x14ac:dyDescent="0.35">
      <c r="B7" t="s">
        <v>20</v>
      </c>
      <c r="C7" s="32">
        <f t="shared" si="1"/>
        <v>73552.5</v>
      </c>
      <c r="D7" s="32"/>
      <c r="E7" s="32"/>
      <c r="F7" s="32">
        <f>F6*0.05</f>
        <v>73552.5</v>
      </c>
      <c r="G7" s="32"/>
    </row>
    <row r="8" spans="2:9" x14ac:dyDescent="0.35">
      <c r="B8" t="s">
        <v>21</v>
      </c>
      <c r="C8" s="32">
        <f t="shared" si="1"/>
        <v>0</v>
      </c>
      <c r="D8" s="32"/>
      <c r="E8" s="32"/>
      <c r="F8" s="32"/>
      <c r="G8" s="32"/>
    </row>
    <row r="9" spans="2:9" x14ac:dyDescent="0.35">
      <c r="B9" s="4" t="s">
        <v>22</v>
      </c>
      <c r="C9" s="33">
        <f t="shared" si="1"/>
        <v>157500</v>
      </c>
      <c r="D9" s="33"/>
      <c r="E9" s="33"/>
      <c r="F9" s="33">
        <f>150000*1.05</f>
        <v>157500</v>
      </c>
      <c r="G9" s="32"/>
    </row>
    <row r="10" spans="2:9" x14ac:dyDescent="0.35">
      <c r="B10" s="10" t="s">
        <v>23</v>
      </c>
      <c r="C10" s="26">
        <f>SUM(C5:C9)</f>
        <v>1786102.5</v>
      </c>
      <c r="D10" s="26">
        <f>SUM(D5:D9)</f>
        <v>0</v>
      </c>
      <c r="E10" s="26">
        <f>SUM(E5:E9)</f>
        <v>84000</v>
      </c>
      <c r="F10" s="26">
        <f>SUM(F5:F9)</f>
        <v>1702102.5</v>
      </c>
      <c r="G10" s="30"/>
    </row>
    <row r="11" spans="2:9" x14ac:dyDescent="0.35">
      <c r="B11" s="97" t="s">
        <v>159</v>
      </c>
      <c r="C11" s="144">
        <f>C10*(1+Eeldused!$D$6)</f>
        <v>2143323</v>
      </c>
      <c r="D11" s="144">
        <f>D10*(1+Eeldused!$D$6)</f>
        <v>0</v>
      </c>
      <c r="E11" s="144">
        <f>E10*(1+Eeldused!$D$6)</f>
        <v>100800</v>
      </c>
      <c r="F11" s="144">
        <f>F10*(1+Eeldused!$D$6)</f>
        <v>2042523</v>
      </c>
      <c r="G11" s="30"/>
    </row>
    <row r="13" spans="2:9" x14ac:dyDescent="0.35">
      <c r="B13" s="10" t="s">
        <v>24</v>
      </c>
      <c r="C13" s="10" t="s">
        <v>23</v>
      </c>
      <c r="D13" s="10">
        <f>D4</f>
        <v>2023</v>
      </c>
      <c r="E13" s="10">
        <f>E4</f>
        <v>2024</v>
      </c>
      <c r="F13" s="10">
        <f>F4</f>
        <v>2025</v>
      </c>
      <c r="G13" s="2"/>
    </row>
    <row r="14" spans="2:9" x14ac:dyDescent="0.35">
      <c r="B14" t="s">
        <v>27</v>
      </c>
      <c r="C14" s="32">
        <f>SUM(D14:F14)</f>
        <v>1607492.25</v>
      </c>
      <c r="D14" s="32">
        <f>D11*75%</f>
        <v>0</v>
      </c>
      <c r="E14" s="32">
        <f t="shared" ref="E14:F14" si="2">E11*75%</f>
        <v>75600</v>
      </c>
      <c r="F14" s="32">
        <f t="shared" si="2"/>
        <v>1531892.25</v>
      </c>
      <c r="G14" s="32"/>
      <c r="I14" s="1"/>
    </row>
    <row r="15" spans="2:9" x14ac:dyDescent="0.35">
      <c r="B15" t="s">
        <v>25</v>
      </c>
      <c r="C15" s="32">
        <f t="shared" ref="C15:C16" si="3">SUM(D15:F15)</f>
        <v>535830.75</v>
      </c>
      <c r="D15" s="32">
        <f>D11-D14-D16</f>
        <v>0</v>
      </c>
      <c r="E15" s="32">
        <f t="shared" ref="E15:F15" si="4">E11-E14-E16</f>
        <v>25200</v>
      </c>
      <c r="F15" s="32">
        <f t="shared" si="4"/>
        <v>510630.75</v>
      </c>
      <c r="G15" s="32"/>
    </row>
    <row r="16" spans="2:9" x14ac:dyDescent="0.35">
      <c r="B16" t="s">
        <v>26</v>
      </c>
      <c r="C16" s="32">
        <f t="shared" si="3"/>
        <v>0</v>
      </c>
      <c r="D16" s="32"/>
      <c r="E16" s="32"/>
      <c r="F16" s="32"/>
      <c r="G16" s="32"/>
    </row>
    <row r="17" spans="2:7" x14ac:dyDescent="0.35">
      <c r="B17" s="10" t="s">
        <v>23</v>
      </c>
      <c r="C17" s="26">
        <f>SUM(C14:C16)</f>
        <v>2143323</v>
      </c>
      <c r="D17" s="26">
        <f t="shared" ref="D17:F17" si="5">SUM(D14:D16)</f>
        <v>0</v>
      </c>
      <c r="E17" s="26">
        <f t="shared" si="5"/>
        <v>100800</v>
      </c>
      <c r="F17" s="26">
        <f t="shared" si="5"/>
        <v>2042523</v>
      </c>
      <c r="G17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59B5-A9E8-4BC8-83DF-CB58DB7298F0}">
  <dimension ref="B2:X44"/>
  <sheetViews>
    <sheetView workbookViewId="0">
      <selection activeCell="F27" sqref="F27"/>
    </sheetView>
  </sheetViews>
  <sheetFormatPr defaultRowHeight="14.5" x14ac:dyDescent="0.35"/>
  <cols>
    <col min="2" max="2" width="27.7265625" customWidth="1"/>
    <col min="3" max="3" width="9.90625" customWidth="1"/>
    <col min="4" max="4" width="8.7265625" customWidth="1"/>
  </cols>
  <sheetData>
    <row r="2" spans="2:24" x14ac:dyDescent="0.35">
      <c r="B2" s="3"/>
      <c r="C2" s="3">
        <v>2024</v>
      </c>
      <c r="D2" s="3">
        <v>2025</v>
      </c>
      <c r="E2" s="3">
        <v>2026</v>
      </c>
      <c r="F2" s="3">
        <f>E2+1</f>
        <v>2027</v>
      </c>
      <c r="G2" s="3">
        <f t="shared" ref="G2:X2" si="0">F2+1</f>
        <v>2028</v>
      </c>
      <c r="H2" s="3">
        <f t="shared" si="0"/>
        <v>2029</v>
      </c>
      <c r="I2" s="3">
        <f t="shared" si="0"/>
        <v>2030</v>
      </c>
      <c r="J2" s="3">
        <f t="shared" si="0"/>
        <v>2031</v>
      </c>
      <c r="K2" s="3">
        <f t="shared" si="0"/>
        <v>2032</v>
      </c>
      <c r="L2" s="3">
        <f t="shared" si="0"/>
        <v>2033</v>
      </c>
      <c r="M2" s="3">
        <f t="shared" si="0"/>
        <v>2034</v>
      </c>
      <c r="N2" s="3">
        <f t="shared" si="0"/>
        <v>2035</v>
      </c>
      <c r="O2" s="3">
        <f t="shared" si="0"/>
        <v>2036</v>
      </c>
      <c r="P2" s="3">
        <f t="shared" si="0"/>
        <v>2037</v>
      </c>
      <c r="Q2" s="3">
        <f t="shared" si="0"/>
        <v>2038</v>
      </c>
      <c r="R2" s="3">
        <f t="shared" si="0"/>
        <v>2039</v>
      </c>
      <c r="S2" s="3">
        <f t="shared" si="0"/>
        <v>2040</v>
      </c>
      <c r="T2" s="3">
        <f t="shared" si="0"/>
        <v>2041</v>
      </c>
      <c r="U2" s="3">
        <f t="shared" si="0"/>
        <v>2042</v>
      </c>
      <c r="V2" s="3">
        <f t="shared" si="0"/>
        <v>2043</v>
      </c>
      <c r="W2" s="3">
        <f t="shared" si="0"/>
        <v>2044</v>
      </c>
      <c r="X2" s="3">
        <f t="shared" si="0"/>
        <v>2045</v>
      </c>
    </row>
    <row r="3" spans="2:24" x14ac:dyDescent="0.35">
      <c r="B3" t="s">
        <v>50</v>
      </c>
    </row>
    <row r="4" spans="2:24" x14ac:dyDescent="0.35">
      <c r="B4" t="s">
        <v>97</v>
      </c>
      <c r="D4" s="32"/>
      <c r="E4" s="32">
        <f>E5*E6</f>
        <v>0</v>
      </c>
      <c r="F4" s="32">
        <f t="shared" ref="F4:X4" si="1">F5*F6</f>
        <v>140000</v>
      </c>
      <c r="G4" s="32">
        <f t="shared" si="1"/>
        <v>142696.27272727271</v>
      </c>
      <c r="H4" s="32">
        <f t="shared" si="1"/>
        <v>145444.47321611567</v>
      </c>
      <c r="I4" s="32">
        <f t="shared" si="1"/>
        <v>148245.60154800967</v>
      </c>
      <c r="J4" s="32">
        <f t="shared" si="1"/>
        <v>151100.67706509563</v>
      </c>
      <c r="K4" s="32">
        <f t="shared" si="1"/>
        <v>154010.7387411175</v>
      </c>
      <c r="L4" s="32">
        <f t="shared" si="1"/>
        <v>156976.84555950892</v>
      </c>
      <c r="M4" s="32">
        <f t="shared" si="1"/>
        <v>160000.07689876179</v>
      </c>
      <c r="N4" s="32">
        <f t="shared" si="1"/>
        <v>163081.53292521657</v>
      </c>
      <c r="O4" s="32">
        <f t="shared" si="1"/>
        <v>166222.3349934172</v>
      </c>
      <c r="P4" s="32">
        <f t="shared" si="1"/>
        <v>169423.62605417677</v>
      </c>
      <c r="Q4" s="32">
        <f t="shared" si="1"/>
        <v>172686.57107050199</v>
      </c>
      <c r="R4" s="32">
        <f t="shared" si="1"/>
        <v>176012.35744152797</v>
      </c>
      <c r="S4" s="32">
        <f t="shared" si="1"/>
        <v>179402.19543461775</v>
      </c>
      <c r="T4" s="32">
        <f t="shared" si="1"/>
        <v>182857.31862578352</v>
      </c>
      <c r="U4" s="32">
        <f t="shared" si="1"/>
        <v>186378.98434859005</v>
      </c>
      <c r="V4" s="32">
        <f t="shared" si="1"/>
        <v>189968.47415170356</v>
      </c>
      <c r="W4" s="32">
        <f t="shared" si="1"/>
        <v>193627.0942652525</v>
      </c>
      <c r="X4" s="32">
        <f t="shared" si="1"/>
        <v>197356.17607617009</v>
      </c>
    </row>
    <row r="5" spans="2:24" x14ac:dyDescent="0.35">
      <c r="B5" s="11" t="s">
        <v>99</v>
      </c>
      <c r="C5" s="11"/>
      <c r="D5" s="152"/>
      <c r="E5" s="32"/>
      <c r="F5" s="32">
        <f>Eeldused!D16</f>
        <v>40</v>
      </c>
      <c r="G5" s="32">
        <f>F5</f>
        <v>40</v>
      </c>
      <c r="H5" s="32">
        <f t="shared" ref="H5:X5" si="2">G5</f>
        <v>40</v>
      </c>
      <c r="I5" s="32">
        <f t="shared" si="2"/>
        <v>40</v>
      </c>
      <c r="J5" s="32">
        <f t="shared" si="2"/>
        <v>40</v>
      </c>
      <c r="K5" s="32">
        <f t="shared" si="2"/>
        <v>40</v>
      </c>
      <c r="L5" s="32">
        <f t="shared" si="2"/>
        <v>40</v>
      </c>
      <c r="M5" s="32">
        <f t="shared" si="2"/>
        <v>40</v>
      </c>
      <c r="N5" s="32">
        <f t="shared" si="2"/>
        <v>40</v>
      </c>
      <c r="O5" s="32">
        <f t="shared" si="2"/>
        <v>40</v>
      </c>
      <c r="P5" s="32">
        <f t="shared" si="2"/>
        <v>40</v>
      </c>
      <c r="Q5" s="32">
        <f t="shared" si="2"/>
        <v>40</v>
      </c>
      <c r="R5" s="32">
        <f t="shared" si="2"/>
        <v>40</v>
      </c>
      <c r="S5" s="32">
        <f t="shared" si="2"/>
        <v>40</v>
      </c>
      <c r="T5" s="32">
        <f t="shared" si="2"/>
        <v>40</v>
      </c>
      <c r="U5" s="32">
        <f t="shared" si="2"/>
        <v>40</v>
      </c>
      <c r="V5" s="32">
        <f t="shared" si="2"/>
        <v>40</v>
      </c>
      <c r="W5" s="32">
        <f t="shared" si="2"/>
        <v>40</v>
      </c>
      <c r="X5" s="32">
        <f t="shared" si="2"/>
        <v>40</v>
      </c>
    </row>
    <row r="6" spans="2:24" x14ac:dyDescent="0.35">
      <c r="B6" s="11" t="s">
        <v>98</v>
      </c>
      <c r="C6" s="11"/>
      <c r="D6" s="152"/>
      <c r="E6" s="32"/>
      <c r="F6" s="32">
        <f>Eeldused!D15</f>
        <v>3500</v>
      </c>
      <c r="G6" s="32">
        <f>F6*(1+Eeldused!$D$4)</f>
        <v>3567.4068181818179</v>
      </c>
      <c r="H6" s="32">
        <f>G6*(1+Eeldused!$D$4)</f>
        <v>3636.1118304028919</v>
      </c>
      <c r="I6" s="32">
        <f>H6*(1+Eeldused!$D$4)</f>
        <v>3706.1400387002418</v>
      </c>
      <c r="J6" s="32">
        <f>I6*(1+Eeldused!$D$4)</f>
        <v>3777.5169266273911</v>
      </c>
      <c r="K6" s="32">
        <f>J6*(1+Eeldused!$D$4)</f>
        <v>3850.2684685279373</v>
      </c>
      <c r="L6" s="32">
        <f>K6*(1+Eeldused!$D$4)</f>
        <v>3924.4211389877228</v>
      </c>
      <c r="M6" s="32">
        <f>L6*(1+Eeldused!$D$4)</f>
        <v>4000.001922469045</v>
      </c>
      <c r="N6" s="32">
        <f>M6*(1+Eeldused!$D$4)</f>
        <v>4077.0383231304145</v>
      </c>
      <c r="O6" s="32">
        <f>N6*(1+Eeldused!$D$4)</f>
        <v>4155.5583748354302</v>
      </c>
      <c r="P6" s="32">
        <f>O6*(1+Eeldused!$D$4)</f>
        <v>4235.5906513544196</v>
      </c>
      <c r="Q6" s="32">
        <f>P6*(1+Eeldused!$D$4)</f>
        <v>4317.1642767625499</v>
      </c>
      <c r="R6" s="32">
        <f>Q6*(1+Eeldused!$D$4)</f>
        <v>4400.3089360381991</v>
      </c>
      <c r="S6" s="32">
        <f>R6*(1+Eeldused!$D$4)</f>
        <v>4485.0548858654438</v>
      </c>
      <c r="T6" s="32">
        <f>S6*(1+Eeldused!$D$4)</f>
        <v>4571.432965644588</v>
      </c>
      <c r="U6" s="32">
        <f>T6*(1+Eeldused!$D$4)</f>
        <v>4659.4746087147514</v>
      </c>
      <c r="V6" s="32">
        <f>U6*(1+Eeldused!$D$4)</f>
        <v>4749.211853792589</v>
      </c>
      <c r="W6" s="32">
        <f>V6*(1+Eeldused!$D$4)</f>
        <v>4840.6773566313123</v>
      </c>
      <c r="X6" s="32">
        <f>W6*(1+Eeldused!$D$4)</f>
        <v>4933.9044019042522</v>
      </c>
    </row>
    <row r="7" spans="2:24" x14ac:dyDescent="0.35">
      <c r="B7" s="100" t="s">
        <v>227</v>
      </c>
      <c r="C7" s="11"/>
      <c r="D7" s="152"/>
      <c r="E7" s="32">
        <f>Eeldused!D17*2.5*36</f>
        <v>5400</v>
      </c>
      <c r="F7" s="32">
        <f>E7*(1+Eeldused!$D$4)</f>
        <v>5503.9990909090902</v>
      </c>
      <c r="G7" s="32">
        <f>F7*(1+Eeldused!$D$4)</f>
        <v>5610.0011097644619</v>
      </c>
      <c r="H7" s="32">
        <f>G7*(1+Eeldused!$D$4)</f>
        <v>5718.0446311375163</v>
      </c>
      <c r="I7" s="32">
        <f>H7*(1+Eeldused!$D$4)</f>
        <v>5828.1689725108326</v>
      </c>
      <c r="J7" s="32">
        <f>I7*(1+Eeldused!$D$4)</f>
        <v>5940.4142085859612</v>
      </c>
      <c r="K7" s="32">
        <f>J7*(1+Eeldused!$D$4)</f>
        <v>6054.8211858667728</v>
      </c>
      <c r="L7" s="32">
        <f>K7*(1+Eeldused!$D$4)</f>
        <v>6171.4315375236702</v>
      </c>
      <c r="M7" s="32">
        <f>L7*(1+Eeldused!$D$4)</f>
        <v>6290.2876985440689</v>
      </c>
      <c r="N7" s="32">
        <f>M7*(1+Eeldused!$D$4)</f>
        <v>6411.4329211746654</v>
      </c>
      <c r="O7" s="32">
        <f>N7*(1+Eeldused!$D$4)</f>
        <v>6534.9112906611062</v>
      </c>
      <c r="P7" s="32">
        <f>O7*(1+Eeldused!$D$4)</f>
        <v>6660.7677412907924</v>
      </c>
      <c r="Q7" s="32">
        <f>P7*(1+Eeldused!$D$4)</f>
        <v>6789.0480727446511</v>
      </c>
      <c r="R7" s="32">
        <f>Q7*(1+Eeldused!$D$4)</f>
        <v>6919.7989667638285</v>
      </c>
      <c r="S7" s="32">
        <f>R7*(1+Eeldused!$D$4)</f>
        <v>7053.0680041373662</v>
      </c>
      <c r="T7" s="32">
        <f>S7*(1+Eeldused!$D$4)</f>
        <v>7188.9036820170477</v>
      </c>
      <c r="U7" s="32">
        <f>T7*(1+Eeldused!$D$4)</f>
        <v>7327.355431565712</v>
      </c>
      <c r="V7" s="32">
        <f>U7*(1+Eeldused!$D$4)</f>
        <v>7468.4736359454564</v>
      </c>
      <c r="W7" s="32">
        <f>V7*(1+Eeldused!$D$4)</f>
        <v>7612.3096486522782</v>
      </c>
      <c r="X7" s="32">
        <f>W7*(1+Eeldused!$D$4)</f>
        <v>7758.9158122038216</v>
      </c>
    </row>
    <row r="8" spans="2:24" x14ac:dyDescent="0.35">
      <c r="B8" s="145" t="s">
        <v>192</v>
      </c>
      <c r="C8" s="145"/>
      <c r="D8" s="31">
        <f>D4+D7</f>
        <v>0</v>
      </c>
      <c r="E8" s="31">
        <f>E4+E7</f>
        <v>5400</v>
      </c>
      <c r="F8" s="31">
        <f t="shared" ref="F8:X8" si="3">F4+F7</f>
        <v>145503.99909090908</v>
      </c>
      <c r="G8" s="31">
        <f t="shared" si="3"/>
        <v>148306.27383703718</v>
      </c>
      <c r="H8" s="31">
        <f t="shared" si="3"/>
        <v>151162.51784725318</v>
      </c>
      <c r="I8" s="31">
        <f t="shared" si="3"/>
        <v>154073.77052052051</v>
      </c>
      <c r="J8" s="31">
        <f t="shared" si="3"/>
        <v>157041.09127368158</v>
      </c>
      <c r="K8" s="31">
        <f t="shared" si="3"/>
        <v>160065.55992698428</v>
      </c>
      <c r="L8" s="31">
        <f t="shared" si="3"/>
        <v>163148.27709703258</v>
      </c>
      <c r="M8" s="31">
        <f t="shared" si="3"/>
        <v>166290.36459730586</v>
      </c>
      <c r="N8" s="31">
        <f t="shared" si="3"/>
        <v>169492.96584639122</v>
      </c>
      <c r="O8" s="31">
        <f t="shared" si="3"/>
        <v>172757.24628407831</v>
      </c>
      <c r="P8" s="31">
        <f t="shared" si="3"/>
        <v>176084.39379546756</v>
      </c>
      <c r="Q8" s="31">
        <f t="shared" si="3"/>
        <v>179475.61914324664</v>
      </c>
      <c r="R8" s="31">
        <f t="shared" si="3"/>
        <v>182932.1564082918</v>
      </c>
      <c r="S8" s="31">
        <f t="shared" si="3"/>
        <v>186455.26343875512</v>
      </c>
      <c r="T8" s="31">
        <f t="shared" si="3"/>
        <v>190046.22230780058</v>
      </c>
      <c r="U8" s="31">
        <f t="shared" si="3"/>
        <v>193706.33978015577</v>
      </c>
      <c r="V8" s="31">
        <f t="shared" si="3"/>
        <v>197436.94778764903</v>
      </c>
      <c r="W8" s="31">
        <f t="shared" si="3"/>
        <v>201239.40391390477</v>
      </c>
      <c r="X8" s="31">
        <f t="shared" si="3"/>
        <v>205115.09188837392</v>
      </c>
    </row>
    <row r="9" spans="2:24" x14ac:dyDescent="0.35">
      <c r="B9" t="s">
        <v>103</v>
      </c>
      <c r="C9" s="124"/>
      <c r="D9" s="153">
        <f>-Eeldused!D13*0.5*Eeldused!D25</f>
        <v>-30000</v>
      </c>
      <c r="E9" s="32">
        <f>-Eeldused!D13*Eeldused!D25</f>
        <v>-60000</v>
      </c>
      <c r="F9" s="32">
        <f>E9*(1+Eeldused!$D$4)</f>
        <v>-61155.545454545449</v>
      </c>
      <c r="G9" s="32">
        <f>F9*(1+Eeldused!$D$4)</f>
        <v>-62333.345664049579</v>
      </c>
      <c r="H9" s="32">
        <f>G9*(1+Eeldused!$D$4)</f>
        <v>-63533.829234861296</v>
      </c>
      <c r="I9" s="32">
        <f>H9*(1+Eeldused!$D$4)</f>
        <v>-64757.433027898143</v>
      </c>
      <c r="J9" s="32">
        <f>I9*(1+Eeldused!$D$4)</f>
        <v>-66004.6023176218</v>
      </c>
      <c r="K9" s="32">
        <f>J9*(1+Eeldused!$D$4)</f>
        <v>-67275.790954075273</v>
      </c>
      <c r="L9" s="32">
        <f>K9*(1+Eeldused!$D$4)</f>
        <v>-68571.461528040803</v>
      </c>
      <c r="M9" s="32">
        <f>L9*(1+Eeldused!$D$4)</f>
        <v>-69892.08553937856</v>
      </c>
      <c r="N9" s="32">
        <f>M9*(1+Eeldused!$D$4)</f>
        <v>-71238.143568607411</v>
      </c>
      <c r="O9" s="32">
        <f>N9*(1+Eeldused!$D$4)</f>
        <v>-72610.125451790082</v>
      </c>
      <c r="P9" s="32">
        <f>O9*(1+Eeldused!$D$4)</f>
        <v>-74008.530458786598</v>
      </c>
      <c r="Q9" s="32">
        <f>P9*(1+Eeldused!$D$4)</f>
        <v>-75433.867474940591</v>
      </c>
      <c r="R9" s="32">
        <f>Q9*(1+Eeldused!$D$4)</f>
        <v>-76886.655186264776</v>
      </c>
      <c r="S9" s="32">
        <f>R9*(1+Eeldused!$D$4)</f>
        <v>-78367.422268192968</v>
      </c>
      <c r="T9" s="32">
        <f>S9*(1+Eeldused!$D$4)</f>
        <v>-79876.707577967201</v>
      </c>
      <c r="U9" s="32">
        <f>T9*(1+Eeldused!$D$4)</f>
        <v>-81415.060350730142</v>
      </c>
      <c r="V9" s="32">
        <f>U9*(1+Eeldused!$D$4)</f>
        <v>-82983.040399393969</v>
      </c>
      <c r="W9" s="32">
        <f>V9*(1+Eeldused!$D$4)</f>
        <v>-84581.21831835866</v>
      </c>
      <c r="X9" s="32">
        <f>W9*(1+Eeldused!$D$4)</f>
        <v>-86210.175691153592</v>
      </c>
    </row>
    <row r="10" spans="2:24" x14ac:dyDescent="0.35">
      <c r="B10" t="s">
        <v>226</v>
      </c>
      <c r="C10" s="124"/>
      <c r="D10" s="153">
        <f>-Eeldused!D26*Eeldused!D13*0.5/12*4</f>
        <v>-2916.6666666666665</v>
      </c>
      <c r="E10" s="32">
        <f>-(Eeldused!D26*Eeldused!D13*0.5/12*8+Eeldused!D26*Eeldused!D13/12*4)</f>
        <v>-11666.666666666666</v>
      </c>
      <c r="F10" s="32">
        <f>-Eeldused!D26*Eeldused!D13*(1+Eeldused!$D$4)</f>
        <v>-17837.034090909088</v>
      </c>
      <c r="G10" s="32">
        <f>F10*(1+Eeldused!$D$4)</f>
        <v>-18180.559152014459</v>
      </c>
      <c r="H10" s="32">
        <f>G10*(1+Eeldused!$D$4)</f>
        <v>-18530.700193501209</v>
      </c>
      <c r="I10" s="32">
        <f>H10*(1+Eeldused!$D$4)</f>
        <v>-18887.584633136954</v>
      </c>
      <c r="J10" s="32">
        <f>I10*(1+Eeldused!$D$4)</f>
        <v>-19251.342342639684</v>
      </c>
      <c r="K10" s="32">
        <f>J10*(1+Eeldused!$D$4)</f>
        <v>-19622.105694938611</v>
      </c>
      <c r="L10" s="32">
        <f>K10*(1+Eeldused!$D$4)</f>
        <v>-20000.009612345224</v>
      </c>
      <c r="M10" s="32">
        <f>L10*(1+Eeldused!$D$4)</f>
        <v>-20385.191615652071</v>
      </c>
      <c r="N10" s="32">
        <f>M10*(1+Eeldused!$D$4)</f>
        <v>-20777.79187417715</v>
      </c>
      <c r="O10" s="32">
        <f>N10*(1+Eeldused!$D$4)</f>
        <v>-21177.953256772096</v>
      </c>
      <c r="P10" s="32">
        <f>O10*(1+Eeldused!$D$4)</f>
        <v>-21585.821383812745</v>
      </c>
      <c r="Q10" s="32">
        <f>P10*(1+Eeldused!$D$4)</f>
        <v>-22001.544680190993</v>
      </c>
      <c r="R10" s="32">
        <f>Q10*(1+Eeldused!$D$4)</f>
        <v>-22425.274429327215</v>
      </c>
      <c r="S10" s="32">
        <f>R10*(1+Eeldused!$D$4)</f>
        <v>-22857.16482822294</v>
      </c>
      <c r="T10" s="32">
        <f>S10*(1+Eeldused!$D$4)</f>
        <v>-23297.37304357376</v>
      </c>
      <c r="U10" s="32">
        <f>T10*(1+Eeldused!$D$4)</f>
        <v>-23746.059268962948</v>
      </c>
      <c r="V10" s="32">
        <f>U10*(1+Eeldused!$D$4)</f>
        <v>-24203.386783156566</v>
      </c>
      <c r="W10" s="32">
        <f>V10*(1+Eeldused!$D$4)</f>
        <v>-24669.522009521264</v>
      </c>
      <c r="X10" s="32">
        <f>W10*(1+Eeldused!$D$4)</f>
        <v>-25144.634576586453</v>
      </c>
    </row>
    <row r="11" spans="2:24" x14ac:dyDescent="0.35">
      <c r="B11" t="s">
        <v>101</v>
      </c>
      <c r="C11" s="124"/>
      <c r="D11" s="153">
        <f>-Eeldused!D23</f>
        <v>-15000</v>
      </c>
      <c r="E11" s="32">
        <f>D11</f>
        <v>-15000</v>
      </c>
      <c r="F11" s="32">
        <f>E11*(1+Eeldused!$D$4)</f>
        <v>-15288.886363636362</v>
      </c>
      <c r="G11" s="32">
        <f>F11*(1+Eeldused!$D$4)</f>
        <v>-15583.336416012395</v>
      </c>
      <c r="H11" s="32">
        <f>G11*(1+Eeldused!$D$4)</f>
        <v>-15883.457308715324</v>
      </c>
      <c r="I11" s="32">
        <f>H11*(1+Eeldused!$D$4)</f>
        <v>-16189.358256974536</v>
      </c>
      <c r="J11" s="32">
        <f>I11*(1+Eeldused!$D$4)</f>
        <v>-16501.15057940545</v>
      </c>
      <c r="K11" s="32">
        <f>J11*(1+Eeldused!$D$4)</f>
        <v>-16818.947738518818</v>
      </c>
      <c r="L11" s="32">
        <f>K11*(1+Eeldused!$D$4)</f>
        <v>-17142.865382010201</v>
      </c>
      <c r="M11" s="32">
        <f>L11*(1+Eeldused!$D$4)</f>
        <v>-17473.02138484464</v>
      </c>
      <c r="N11" s="32">
        <f>M11*(1+Eeldused!$D$4)</f>
        <v>-17809.535892151853</v>
      </c>
      <c r="O11" s="32">
        <f>N11*(1+Eeldused!$D$4)</f>
        <v>-18152.53136294752</v>
      </c>
      <c r="P11" s="32">
        <f>O11*(1+Eeldused!$D$4)</f>
        <v>-18502.132614696649</v>
      </c>
      <c r="Q11" s="32">
        <f>P11*(1+Eeldused!$D$4)</f>
        <v>-18858.466868735148</v>
      </c>
      <c r="R11" s="32">
        <f>Q11*(1+Eeldused!$D$4)</f>
        <v>-19221.663796566194</v>
      </c>
      <c r="S11" s="32">
        <f>R11*(1+Eeldused!$D$4)</f>
        <v>-19591.855567048242</v>
      </c>
      <c r="T11" s="32">
        <f>S11*(1+Eeldused!$D$4)</f>
        <v>-19969.1768944918</v>
      </c>
      <c r="U11" s="32">
        <f>T11*(1+Eeldused!$D$4)</f>
        <v>-20353.765087682536</v>
      </c>
      <c r="V11" s="32">
        <f>U11*(1+Eeldused!$D$4)</f>
        <v>-20745.760099848492</v>
      </c>
      <c r="W11" s="32">
        <f>V11*(1+Eeldused!$D$4)</f>
        <v>-21145.304579589665</v>
      </c>
      <c r="X11" s="32">
        <f>W11*(1+Eeldused!$D$4)</f>
        <v>-21552.543922788398</v>
      </c>
    </row>
    <row r="12" spans="2:24" x14ac:dyDescent="0.35">
      <c r="B12" s="20" t="s">
        <v>102</v>
      </c>
      <c r="C12" s="124"/>
      <c r="D12" s="153">
        <f>E12/12*4</f>
        <v>-2292.96</v>
      </c>
      <c r="E12" s="32">
        <f>-Eeldused!D24*Eeldused!D20*12</f>
        <v>-6878.88</v>
      </c>
      <c r="F12" s="32">
        <f>E12*(1+Eeldused!$D$4)</f>
        <v>-7011.360975272727</v>
      </c>
      <c r="G12" s="32">
        <f>F12*(1+Eeldused!$D$4)</f>
        <v>-7146.3934136919561</v>
      </c>
      <c r="H12" s="32">
        <f>G12*(1+Eeldused!$D$4)</f>
        <v>-7284.0264541183778</v>
      </c>
      <c r="I12" s="32">
        <f>H12*(1+Eeldused!$D$4)</f>
        <v>-7424.3101817824663</v>
      </c>
      <c r="J12" s="32">
        <f>I12*(1+Eeldused!$D$4)</f>
        <v>-7567.2956465107036</v>
      </c>
      <c r="K12" s="32">
        <f>J12*(1+Eeldused!$D$4)</f>
        <v>-7713.0348813028204</v>
      </c>
      <c r="L12" s="32">
        <f>K12*(1+Eeldused!$D$4)</f>
        <v>-7861.58092126682</v>
      </c>
      <c r="M12" s="32">
        <f>L12*(1+Eeldused!$D$4)</f>
        <v>-8012.9878229186716</v>
      </c>
      <c r="N12" s="32">
        <f>M12*(1+Eeldused!$D$4)</f>
        <v>-8167.3106838537005</v>
      </c>
      <c r="O12" s="32">
        <f>N12*(1+Eeldused!$D$4)</f>
        <v>-8324.6056627968283</v>
      </c>
      <c r="P12" s="32">
        <f>O12*(1+Eeldused!$D$4)</f>
        <v>-8484.9300000389649</v>
      </c>
      <c r="Q12" s="32">
        <f>P12*(1+Eeldused!$D$4)</f>
        <v>-8648.3420382669883</v>
      </c>
      <c r="R12" s="32">
        <f>Q12*(1+Eeldused!$D$4)</f>
        <v>-8814.9012437948841</v>
      </c>
      <c r="S12" s="32">
        <f>R12*(1+Eeldused!$D$4)</f>
        <v>-8984.6682282037873</v>
      </c>
      <c r="T12" s="32">
        <f>S12*(1+Eeldused!$D$4)</f>
        <v>-9157.7047703987846</v>
      </c>
      <c r="U12" s="32">
        <f>T12*(1+Eeldused!$D$4)</f>
        <v>-9334.0738390905099</v>
      </c>
      <c r="V12" s="32">
        <f>U12*(1+Eeldused!$D$4)</f>
        <v>-9513.8396157097213</v>
      </c>
      <c r="W12" s="32">
        <f>V12*(1+Eeldused!$D$4)</f>
        <v>-9697.0675177631838</v>
      </c>
      <c r="X12" s="32">
        <f>W12*(1+Eeldused!$D$4)</f>
        <v>-9883.8242226393759</v>
      </c>
    </row>
    <row r="13" spans="2:24" x14ac:dyDescent="0.35">
      <c r="B13" s="20" t="s">
        <v>83</v>
      </c>
      <c r="C13" s="124"/>
      <c r="D13" s="153">
        <f>E13/12*4</f>
        <v>-7643.2</v>
      </c>
      <c r="E13" s="32">
        <f>-Eeldused!D20*SUM(Eeldused!D27:D30)*12</f>
        <v>-22929.599999999999</v>
      </c>
      <c r="F13" s="32">
        <f>E13*(1+Eeldused!$D$4)</f>
        <v>-23371.20325090909</v>
      </c>
      <c r="G13" s="32">
        <f>F13*(1+Eeldused!$D$4)</f>
        <v>-23821.311378973187</v>
      </c>
      <c r="H13" s="32">
        <f>G13*(1+Eeldused!$D$4)</f>
        <v>-24280.088180394592</v>
      </c>
      <c r="I13" s="32">
        <f>H13*(1+Eeldused!$D$4)</f>
        <v>-24747.700605941554</v>
      </c>
      <c r="J13" s="32">
        <f>I13*(1+Eeldused!$D$4)</f>
        <v>-25224.318821702345</v>
      </c>
      <c r="K13" s="32">
        <f>J13*(1+Eeldused!$D$4)</f>
        <v>-25710.116271009403</v>
      </c>
      <c r="L13" s="32">
        <f>K13*(1+Eeldused!$D$4)</f>
        <v>-26205.269737556067</v>
      </c>
      <c r="M13" s="32">
        <f>L13*(1+Eeldused!$D$4)</f>
        <v>-26709.959409728908</v>
      </c>
      <c r="N13" s="32">
        <f>M13*(1+Eeldused!$D$4)</f>
        <v>-27224.368946179002</v>
      </c>
      <c r="O13" s="32">
        <f>N13*(1+Eeldused!$D$4)</f>
        <v>-27748.685542656094</v>
      </c>
      <c r="P13" s="32">
        <f>O13*(1+Eeldused!$D$4)</f>
        <v>-28283.100000129882</v>
      </c>
      <c r="Q13" s="32">
        <f>P13*(1+Eeldused!$D$4)</f>
        <v>-28827.806794223288</v>
      </c>
      <c r="R13" s="32">
        <f>Q13*(1+Eeldused!$D$4)</f>
        <v>-29383.004145982941</v>
      </c>
      <c r="S13" s="32">
        <f>R13*(1+Eeldused!$D$4)</f>
        <v>-29948.894094012619</v>
      </c>
      <c r="T13" s="32">
        <f>S13*(1+Eeldused!$D$4)</f>
        <v>-30525.682567995944</v>
      </c>
      <c r="U13" s="32">
        <f>T13*(1+Eeldused!$D$4)</f>
        <v>-31113.579463635026</v>
      </c>
      <c r="V13" s="32">
        <f>U13*(1+Eeldused!$D$4)</f>
        <v>-31712.798719032395</v>
      </c>
      <c r="W13" s="32">
        <f>V13*(1+Eeldused!$D$4)</f>
        <v>-32323.558392543939</v>
      </c>
      <c r="X13" s="32">
        <f>W13*(1+Eeldused!$D$4)</f>
        <v>-32946.080742131249</v>
      </c>
    </row>
    <row r="14" spans="2:24" x14ac:dyDescent="0.35">
      <c r="B14" t="s">
        <v>28</v>
      </c>
      <c r="C14" s="124"/>
      <c r="D14" s="153">
        <f>-(D15*D16*1.338*4)</f>
        <v>-24405.120000000003</v>
      </c>
      <c r="E14" s="153">
        <f>-(E15*E16*1.338*12)</f>
        <v>-109823.04000000001</v>
      </c>
      <c r="F14" s="153">
        <f t="shared" ref="F14:X14" si="4">-(F15*F16*1.338*12)</f>
        <v>-114336.17127860212</v>
      </c>
      <c r="G14" s="153">
        <f t="shared" si="4"/>
        <v>-119034.76777413776</v>
      </c>
      <c r="H14" s="153">
        <f t="shared" si="4"/>
        <v>-123926.45110108447</v>
      </c>
      <c r="I14" s="153">
        <f t="shared" si="4"/>
        <v>-129019.15608093624</v>
      </c>
      <c r="J14" s="153">
        <f t="shared" si="4"/>
        <v>-134321.14361331309</v>
      </c>
      <c r="K14" s="153">
        <f t="shared" si="4"/>
        <v>-139841.01407600337</v>
      </c>
      <c r="L14" s="153">
        <f t="shared" si="4"/>
        <v>-145587.7212756752</v>
      </c>
      <c r="M14" s="153">
        <f t="shared" si="4"/>
        <v>-151570.58697188663</v>
      </c>
      <c r="N14" s="153">
        <f t="shared" si="4"/>
        <v>-157799.31599795353</v>
      </c>
      <c r="O14" s="153">
        <f t="shared" si="4"/>
        <v>-164284.0120032033</v>
      </c>
      <c r="P14" s="153">
        <f t="shared" si="4"/>
        <v>-171035.19384214986</v>
      </c>
      <c r="Q14" s="153">
        <f t="shared" si="4"/>
        <v>-178063.81263717488</v>
      </c>
      <c r="R14" s="153">
        <f t="shared" si="4"/>
        <v>-185381.26954239246</v>
      </c>
      <c r="S14" s="153">
        <f t="shared" si="4"/>
        <v>-192999.43423751238</v>
      </c>
      <c r="T14" s="153">
        <f t="shared" si="4"/>
        <v>-200930.66418170102</v>
      </c>
      <c r="U14" s="153">
        <f t="shared" si="4"/>
        <v>-209187.82465867139</v>
      </c>
      <c r="V14" s="153">
        <f t="shared" si="4"/>
        <v>-217784.30964551738</v>
      </c>
      <c r="W14" s="153">
        <f t="shared" si="4"/>
        <v>-226734.06353914438</v>
      </c>
      <c r="X14" s="153">
        <f t="shared" si="4"/>
        <v>-236051.60377553804</v>
      </c>
    </row>
    <row r="15" spans="2:24" x14ac:dyDescent="0.35">
      <c r="B15" s="11" t="s">
        <v>81</v>
      </c>
      <c r="C15" s="124"/>
      <c r="D15" s="153">
        <f>Eeldused!D21</f>
        <v>2280</v>
      </c>
      <c r="E15" s="32">
        <f>D15</f>
        <v>2280</v>
      </c>
      <c r="F15" s="32">
        <f>E15*(1+Eeldused!$D$5)</f>
        <v>2373.6956335866576</v>
      </c>
      <c r="G15" s="32">
        <f>F15*(1+Eeldused!$D$5)</f>
        <v>2471.2416495212124</v>
      </c>
      <c r="H15" s="32">
        <f>G15*(1+Eeldused!$D$5)</f>
        <v>2572.7962776342065</v>
      </c>
      <c r="I15" s="32">
        <f>H15*(1+Eeldused!$D$5)</f>
        <v>2678.5242501440007</v>
      </c>
      <c r="J15" s="32">
        <f>I15*(1+Eeldused!$D$5)</f>
        <v>2788.5970688696452</v>
      </c>
      <c r="K15" s="32">
        <f>J15*(1+Eeldused!$D$5)</f>
        <v>2903.1932834247496</v>
      </c>
      <c r="L15" s="32">
        <f>K15*(1+Eeldused!$D$5)</f>
        <v>3022.498780843614</v>
      </c>
      <c r="M15" s="32">
        <f>L15*(1+Eeldused!$D$5)</f>
        <v>3146.707087109422</v>
      </c>
      <c r="N15" s="32">
        <f>M15*(1+Eeldused!$D$5)</f>
        <v>3276.0196810736074</v>
      </c>
      <c r="O15" s="32">
        <f>N15*(1+Eeldused!$D$5)</f>
        <v>3410.6463212756039</v>
      </c>
      <c r="P15" s="32">
        <f>O15*(1+Eeldused!$D$5)</f>
        <v>3550.805386193113</v>
      </c>
      <c r="Q15" s="32">
        <f>P15*(1+Eeldused!$D$5)</f>
        <v>3696.7242284748149</v>
      </c>
      <c r="R15" s="32">
        <f>Q15*(1+Eeldused!$D$5)</f>
        <v>3848.6395437301203</v>
      </c>
      <c r="S15" s="32">
        <f>R15*(1+Eeldused!$D$5)</f>
        <v>4006.7977544741811</v>
      </c>
      <c r="T15" s="32">
        <f>S15*(1+Eeldused!$D$5)</f>
        <v>4171.4554098509598</v>
      </c>
      <c r="U15" s="32">
        <f>T15*(1+Eeldused!$D$5)</f>
        <v>4342.8796017827472</v>
      </c>
      <c r="V15" s="32">
        <f>U15*(1+Eeldused!$D$5)</f>
        <v>4521.348398221171</v>
      </c>
      <c r="W15" s="32">
        <f>V15*(1+Eeldused!$D$5)</f>
        <v>4707.1512942024656</v>
      </c>
      <c r="X15" s="32">
        <f>W15*(1+Eeldused!$D$5)</f>
        <v>4900.5896814386742</v>
      </c>
    </row>
    <row r="16" spans="2:24" x14ac:dyDescent="0.35">
      <c r="B16" s="11" t="s">
        <v>105</v>
      </c>
      <c r="C16" s="124"/>
      <c r="D16" s="153">
        <v>2</v>
      </c>
      <c r="E16" s="32">
        <v>3</v>
      </c>
      <c r="F16" s="32">
        <f>Eeldused!D22</f>
        <v>3</v>
      </c>
      <c r="G16" s="32">
        <f>F16</f>
        <v>3</v>
      </c>
      <c r="H16" s="32">
        <f t="shared" ref="H16:X16" si="5">G16</f>
        <v>3</v>
      </c>
      <c r="I16" s="32">
        <f t="shared" si="5"/>
        <v>3</v>
      </c>
      <c r="J16" s="32">
        <f t="shared" si="5"/>
        <v>3</v>
      </c>
      <c r="K16" s="32">
        <f t="shared" si="5"/>
        <v>3</v>
      </c>
      <c r="L16" s="32">
        <f t="shared" si="5"/>
        <v>3</v>
      </c>
      <c r="M16" s="32">
        <f t="shared" si="5"/>
        <v>3</v>
      </c>
      <c r="N16" s="32">
        <f t="shared" si="5"/>
        <v>3</v>
      </c>
      <c r="O16" s="32">
        <f t="shared" si="5"/>
        <v>3</v>
      </c>
      <c r="P16" s="32">
        <f t="shared" si="5"/>
        <v>3</v>
      </c>
      <c r="Q16" s="32">
        <f t="shared" si="5"/>
        <v>3</v>
      </c>
      <c r="R16" s="32">
        <f t="shared" si="5"/>
        <v>3</v>
      </c>
      <c r="S16" s="32">
        <f t="shared" si="5"/>
        <v>3</v>
      </c>
      <c r="T16" s="32">
        <f t="shared" si="5"/>
        <v>3</v>
      </c>
      <c r="U16" s="32">
        <f t="shared" si="5"/>
        <v>3</v>
      </c>
      <c r="V16" s="32">
        <f t="shared" si="5"/>
        <v>3</v>
      </c>
      <c r="W16" s="32">
        <f t="shared" si="5"/>
        <v>3</v>
      </c>
      <c r="X16" s="32">
        <f t="shared" si="5"/>
        <v>3</v>
      </c>
    </row>
    <row r="17" spans="2:24" x14ac:dyDescent="0.35">
      <c r="B17" t="s">
        <v>162</v>
      </c>
      <c r="D17" s="32">
        <v>-1000</v>
      </c>
      <c r="E17" s="32">
        <v>-1000</v>
      </c>
      <c r="F17" s="32">
        <f>E17*(1+Eeldused!$D$4)</f>
        <v>-1019.2590909090908</v>
      </c>
      <c r="G17" s="32">
        <f>F17*(1+Eeldused!$D$4)</f>
        <v>-1038.8890944008263</v>
      </c>
      <c r="H17" s="32">
        <f>G17*(1+Eeldused!$D$4)</f>
        <v>-1058.8971539143549</v>
      </c>
      <c r="I17" s="32">
        <f>H17*(1+Eeldused!$D$4)</f>
        <v>-1079.2905504649691</v>
      </c>
      <c r="J17" s="32">
        <f>I17*(1+Eeldused!$D$4)</f>
        <v>-1100.0767052936967</v>
      </c>
      <c r="K17" s="32">
        <f>J17*(1+Eeldused!$D$4)</f>
        <v>-1121.2631825679211</v>
      </c>
      <c r="L17" s="32">
        <f>K17*(1+Eeldused!$D$4)</f>
        <v>-1142.8576921340132</v>
      </c>
      <c r="M17" s="32">
        <f>L17*(1+Eeldused!$D$4)</f>
        <v>-1164.8680923229758</v>
      </c>
      <c r="N17" s="32">
        <f>M17*(1+Eeldused!$D$4)</f>
        <v>-1187.3023928101231</v>
      </c>
      <c r="O17" s="32">
        <f>N17*(1+Eeldused!$D$4)</f>
        <v>-1210.1687575298345</v>
      </c>
      <c r="P17" s="32">
        <f>O17*(1+Eeldused!$D$4)</f>
        <v>-1233.475507646443</v>
      </c>
      <c r="Q17" s="32">
        <f>P17*(1+Eeldused!$D$4)</f>
        <v>-1257.2311245823428</v>
      </c>
      <c r="R17" s="32">
        <f>Q17*(1+Eeldused!$D$4)</f>
        <v>-1281.4442531044126</v>
      </c>
      <c r="S17" s="32">
        <f>R17*(1+Eeldused!$D$4)</f>
        <v>-1306.1237044698826</v>
      </c>
      <c r="T17" s="32">
        <f>S17*(1+Eeldused!$D$4)</f>
        <v>-1331.2784596327865</v>
      </c>
      <c r="U17" s="32">
        <f>T17*(1+Eeldused!$D$4)</f>
        <v>-1356.9176725121688</v>
      </c>
      <c r="V17" s="32">
        <f>U17*(1+Eeldused!$D$4)</f>
        <v>-1383.0506733232326</v>
      </c>
      <c r="W17" s="32">
        <f>V17*(1+Eeldused!$D$4)</f>
        <v>-1409.686971972644</v>
      </c>
      <c r="X17" s="32">
        <f>W17*(1+Eeldused!$D$4)</f>
        <v>-1436.8362615192261</v>
      </c>
    </row>
    <row r="18" spans="2:24" x14ac:dyDescent="0.35">
      <c r="B18" t="s">
        <v>51</v>
      </c>
      <c r="D18" s="32">
        <f>E18/12*4</f>
        <v>-6666.666666666667</v>
      </c>
      <c r="E18" s="32">
        <v>-20000</v>
      </c>
      <c r="F18" s="32">
        <f>E18*(1+Eeldused!$D$4)</f>
        <v>-20385.181818181816</v>
      </c>
      <c r="G18" s="32">
        <f>F18*(1+Eeldused!$D$4)</f>
        <v>-20777.781888016525</v>
      </c>
      <c r="H18" s="32">
        <f>G18*(1+Eeldused!$D$4)</f>
        <v>-21177.943078287095</v>
      </c>
      <c r="I18" s="32">
        <f>H18*(1+Eeldused!$D$4)</f>
        <v>-21585.811009299377</v>
      </c>
      <c r="J18" s="32">
        <f>I18*(1+Eeldused!$D$4)</f>
        <v>-22001.534105873929</v>
      </c>
      <c r="K18" s="32">
        <f>J18*(1+Eeldused!$D$4)</f>
        <v>-22425.263651358418</v>
      </c>
      <c r="L18" s="32">
        <f>K18*(1+Eeldused!$D$4)</f>
        <v>-22857.153842680262</v>
      </c>
      <c r="M18" s="32">
        <f>L18*(1+Eeldused!$D$4)</f>
        <v>-23297.361846459517</v>
      </c>
      <c r="N18" s="32">
        <f>M18*(1+Eeldused!$D$4)</f>
        <v>-23746.047856202465</v>
      </c>
      <c r="O18" s="32">
        <f>N18*(1+Eeldused!$D$4)</f>
        <v>-24203.37515059669</v>
      </c>
      <c r="P18" s="32">
        <f>O18*(1+Eeldused!$D$4)</f>
        <v>-24669.510152928862</v>
      </c>
      <c r="Q18" s="32">
        <f>P18*(1+Eeldused!$D$4)</f>
        <v>-25144.62249164686</v>
      </c>
      <c r="R18" s="32">
        <f>Q18*(1+Eeldused!$D$4)</f>
        <v>-25628.885062088259</v>
      </c>
      <c r="S18" s="32">
        <f>R18*(1+Eeldused!$D$4)</f>
        <v>-26122.474089397656</v>
      </c>
      <c r="T18" s="32">
        <f>S18*(1+Eeldused!$D$4)</f>
        <v>-26625.569192655734</v>
      </c>
      <c r="U18" s="32">
        <f>T18*(1+Eeldused!$D$4)</f>
        <v>-27138.353450243379</v>
      </c>
      <c r="V18" s="32">
        <f>U18*(1+Eeldused!$D$4)</f>
        <v>-27661.013466464654</v>
      </c>
      <c r="W18" s="32">
        <f>V18*(1+Eeldused!$D$4)</f>
        <v>-28193.739439452882</v>
      </c>
      <c r="X18" s="32">
        <f>W18*(1+Eeldused!$D$4)</f>
        <v>-28736.725230384523</v>
      </c>
    </row>
    <row r="19" spans="2:24" x14ac:dyDescent="0.35">
      <c r="B19" s="3" t="s">
        <v>225</v>
      </c>
      <c r="C19" s="4"/>
      <c r="D19" s="31">
        <f t="shared" ref="D19:W19" si="6">SUM(D9:D14)+SUM(D17:D18)</f>
        <v>-89924.613333333327</v>
      </c>
      <c r="E19" s="31">
        <f>SUM(E9:E14)+SUM(E17:E18)</f>
        <v>-247298.18666666668</v>
      </c>
      <c r="F19" s="31">
        <f t="shared" si="6"/>
        <v>-260404.64232296575</v>
      </c>
      <c r="G19" s="31">
        <f t="shared" si="6"/>
        <v>-267916.38478129666</v>
      </c>
      <c r="H19" s="31">
        <f t="shared" si="6"/>
        <v>-275675.39270487672</v>
      </c>
      <c r="I19" s="31">
        <f t="shared" si="6"/>
        <v>-283690.64434643422</v>
      </c>
      <c r="J19" s="31">
        <f t="shared" si="6"/>
        <v>-291971.46413236071</v>
      </c>
      <c r="K19" s="31">
        <f t="shared" si="6"/>
        <v>-300527.53644977463</v>
      </c>
      <c r="L19" s="31">
        <f t="shared" si="6"/>
        <v>-309368.91999170859</v>
      </c>
      <c r="M19" s="31">
        <f t="shared" si="6"/>
        <v>-318506.06268319202</v>
      </c>
      <c r="N19" s="31">
        <f t="shared" si="6"/>
        <v>-327949.81721193524</v>
      </c>
      <c r="O19" s="31">
        <f t="shared" si="6"/>
        <v>-337711.45718829241</v>
      </c>
      <c r="P19" s="31">
        <f t="shared" si="6"/>
        <v>-347802.69396019005</v>
      </c>
      <c r="Q19" s="31">
        <f t="shared" si="6"/>
        <v>-358235.6941097611</v>
      </c>
      <c r="R19" s="31">
        <f t="shared" si="6"/>
        <v>-369023.09765952115</v>
      </c>
      <c r="S19" s="31">
        <f t="shared" si="6"/>
        <v>-380178.0370170605</v>
      </c>
      <c r="T19" s="31">
        <f t="shared" si="6"/>
        <v>-391714.15668841702</v>
      </c>
      <c r="U19" s="31">
        <f t="shared" si="6"/>
        <v>-403645.63379152812</v>
      </c>
      <c r="V19" s="31">
        <f t="shared" si="6"/>
        <v>-415987.19940244645</v>
      </c>
      <c r="W19" s="31">
        <f t="shared" si="6"/>
        <v>-428754.16076834657</v>
      </c>
      <c r="X19" s="31">
        <f>SUM(X9:X14)+SUM(X17:X18)</f>
        <v>-441962.42442274082</v>
      </c>
    </row>
    <row r="28" spans="2:24" x14ac:dyDescent="0.35">
      <c r="B28" s="11"/>
      <c r="C28" s="11"/>
      <c r="D28" s="11"/>
    </row>
    <row r="29" spans="2:24" x14ac:dyDescent="0.35">
      <c r="B29" s="11"/>
      <c r="C29" s="11"/>
      <c r="D29" s="11"/>
    </row>
    <row r="30" spans="2:24" x14ac:dyDescent="0.35">
      <c r="B30" s="11"/>
      <c r="C30" s="11"/>
      <c r="D30" s="11"/>
    </row>
    <row r="31" spans="2:24" x14ac:dyDescent="0.35">
      <c r="B31" s="11"/>
      <c r="C31" s="11"/>
      <c r="D31" s="11"/>
    </row>
    <row r="32" spans="2:24" x14ac:dyDescent="0.35">
      <c r="B32" s="11"/>
      <c r="C32" s="11"/>
      <c r="D32" s="11"/>
    </row>
    <row r="33" spans="2:5" x14ac:dyDescent="0.35">
      <c r="B33" s="11"/>
      <c r="C33" s="11"/>
      <c r="D33" s="11"/>
    </row>
    <row r="35" spans="2:5" x14ac:dyDescent="0.35">
      <c r="B35" s="2"/>
      <c r="C35" s="2"/>
      <c r="D35" s="2"/>
    </row>
    <row r="36" spans="2:5" x14ac:dyDescent="0.35">
      <c r="E36" s="1"/>
    </row>
    <row r="37" spans="2:5" x14ac:dyDescent="0.35">
      <c r="B37" s="5"/>
      <c r="C37" s="5"/>
      <c r="D37" s="5"/>
    </row>
    <row r="38" spans="2:5" x14ac:dyDescent="0.35">
      <c r="B38" s="5"/>
      <c r="C38" s="5"/>
      <c r="D38" s="5"/>
      <c r="E38" s="6"/>
    </row>
    <row r="39" spans="2:5" x14ac:dyDescent="0.35">
      <c r="B39" s="5"/>
      <c r="C39" s="5"/>
      <c r="D39" s="5"/>
      <c r="E39" s="1"/>
    </row>
    <row r="40" spans="2:5" x14ac:dyDescent="0.35">
      <c r="B40" s="5"/>
      <c r="C40" s="5"/>
      <c r="D40" s="5"/>
      <c r="E40" s="6"/>
    </row>
    <row r="41" spans="2:5" x14ac:dyDescent="0.35">
      <c r="E41" s="8"/>
    </row>
    <row r="42" spans="2:5" x14ac:dyDescent="0.35">
      <c r="E42" s="1"/>
    </row>
    <row r="43" spans="2:5" x14ac:dyDescent="0.35">
      <c r="E43" s="1"/>
    </row>
    <row r="44" spans="2:5" x14ac:dyDescent="0.35">
      <c r="E44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52277-E99D-4E5D-93E1-772E594B9A34}">
  <dimension ref="B2:X43"/>
  <sheetViews>
    <sheetView workbookViewId="0">
      <selection activeCell="G46" sqref="G46"/>
    </sheetView>
  </sheetViews>
  <sheetFormatPr defaultRowHeight="14.5" x14ac:dyDescent="0.35"/>
  <cols>
    <col min="2" max="2" width="35" bestFit="1" customWidth="1"/>
    <col min="3" max="3" width="9.54296875" bestFit="1" customWidth="1"/>
    <col min="4" max="4" width="10.08984375" customWidth="1"/>
    <col min="5" max="5" width="9.90625" bestFit="1" customWidth="1"/>
    <col min="6" max="24" width="8.81640625" bestFit="1" customWidth="1"/>
  </cols>
  <sheetData>
    <row r="2" spans="2:24" x14ac:dyDescent="0.35">
      <c r="B2" s="23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2:24" x14ac:dyDescent="0.35">
      <c r="B3" s="2" t="s">
        <v>39</v>
      </c>
    </row>
    <row r="4" spans="2:24" x14ac:dyDescent="0.35">
      <c r="B4" s="97" t="s">
        <v>37</v>
      </c>
      <c r="C4" s="99">
        <v>2024</v>
      </c>
      <c r="D4" s="97">
        <f>C4+1</f>
        <v>2025</v>
      </c>
      <c r="E4" s="97">
        <f t="shared" ref="E4:V4" si="0">D4+1</f>
        <v>2026</v>
      </c>
      <c r="F4" s="97">
        <f t="shared" si="0"/>
        <v>2027</v>
      </c>
      <c r="G4" s="97">
        <f t="shared" si="0"/>
        <v>2028</v>
      </c>
      <c r="H4" s="97">
        <f t="shared" si="0"/>
        <v>2029</v>
      </c>
      <c r="I4" s="97">
        <f t="shared" si="0"/>
        <v>2030</v>
      </c>
      <c r="J4" s="97">
        <f t="shared" si="0"/>
        <v>2031</v>
      </c>
      <c r="K4" s="97">
        <f t="shared" si="0"/>
        <v>2032</v>
      </c>
      <c r="L4" s="97">
        <f t="shared" si="0"/>
        <v>2033</v>
      </c>
      <c r="M4" s="97">
        <f t="shared" si="0"/>
        <v>2034</v>
      </c>
      <c r="N4" s="97">
        <f t="shared" si="0"/>
        <v>2035</v>
      </c>
      <c r="O4" s="97">
        <f t="shared" si="0"/>
        <v>2036</v>
      </c>
      <c r="P4" s="97">
        <f t="shared" si="0"/>
        <v>2037</v>
      </c>
      <c r="Q4" s="97">
        <f t="shared" si="0"/>
        <v>2038</v>
      </c>
      <c r="R4" s="97">
        <f t="shared" si="0"/>
        <v>2039</v>
      </c>
      <c r="S4" s="97">
        <f t="shared" si="0"/>
        <v>2040</v>
      </c>
      <c r="T4" s="97">
        <f t="shared" si="0"/>
        <v>2041</v>
      </c>
      <c r="U4" s="97">
        <f t="shared" si="0"/>
        <v>2042</v>
      </c>
      <c r="V4" s="97">
        <f t="shared" si="0"/>
        <v>2043</v>
      </c>
      <c r="W4" s="97">
        <f t="shared" ref="W4" si="1">V4+1</f>
        <v>2044</v>
      </c>
      <c r="X4" s="97">
        <f t="shared" ref="X4" si="2">W4+1</f>
        <v>2045</v>
      </c>
    </row>
    <row r="5" spans="2:24" x14ac:dyDescent="0.35">
      <c r="B5" t="s">
        <v>49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spans="2:24" x14ac:dyDescent="0.35">
      <c r="B6" t="s">
        <v>50</v>
      </c>
      <c r="C6" s="32">
        <f>SUM(C7:C8)</f>
        <v>0</v>
      </c>
      <c r="D6" s="32">
        <f t="shared" ref="D6:X6" si="3">SUM(D7:D8)</f>
        <v>0</v>
      </c>
      <c r="E6" s="32">
        <f t="shared" si="3"/>
        <v>5400</v>
      </c>
      <c r="F6" s="32">
        <f>SUM(F7:F8)</f>
        <v>145503.99909090908</v>
      </c>
      <c r="G6" s="32">
        <f t="shared" si="3"/>
        <v>148306.27383703718</v>
      </c>
      <c r="H6" s="32">
        <f t="shared" si="3"/>
        <v>151162.51784725318</v>
      </c>
      <c r="I6" s="32">
        <f t="shared" si="3"/>
        <v>154073.77052052051</v>
      </c>
      <c r="J6" s="32">
        <f t="shared" si="3"/>
        <v>157041.09127368158</v>
      </c>
      <c r="K6" s="32">
        <f t="shared" si="3"/>
        <v>160065.55992698428</v>
      </c>
      <c r="L6" s="32">
        <f t="shared" si="3"/>
        <v>163148.27709703258</v>
      </c>
      <c r="M6" s="32">
        <f>SUM(M7:M8)</f>
        <v>166290.36459730586</v>
      </c>
      <c r="N6" s="32">
        <f t="shared" si="3"/>
        <v>169492.96584639122</v>
      </c>
      <c r="O6" s="32">
        <f t="shared" si="3"/>
        <v>172757.24628407831</v>
      </c>
      <c r="P6" s="32">
        <f t="shared" si="3"/>
        <v>176084.39379546756</v>
      </c>
      <c r="Q6" s="32">
        <f t="shared" si="3"/>
        <v>179475.61914324664</v>
      </c>
      <c r="R6" s="32">
        <f t="shared" si="3"/>
        <v>182932.1564082918</v>
      </c>
      <c r="S6" s="32">
        <f t="shared" si="3"/>
        <v>186455.26343875512</v>
      </c>
      <c r="T6" s="32">
        <f t="shared" si="3"/>
        <v>190046.22230780058</v>
      </c>
      <c r="U6" s="32">
        <f t="shared" si="3"/>
        <v>193706.33978015577</v>
      </c>
      <c r="V6" s="32">
        <f t="shared" si="3"/>
        <v>197436.94778764903</v>
      </c>
      <c r="W6" s="32">
        <f t="shared" si="3"/>
        <v>201239.40391390477</v>
      </c>
      <c r="X6" s="32">
        <f t="shared" si="3"/>
        <v>205115.09188837392</v>
      </c>
    </row>
    <row r="7" spans="2:24" x14ac:dyDescent="0.35">
      <c r="B7" s="11" t="s">
        <v>97</v>
      </c>
      <c r="C7" s="32"/>
      <c r="D7" s="32">
        <v>0</v>
      </c>
      <c r="E7" s="32">
        <f>'Tulud-Kulud'!E4</f>
        <v>0</v>
      </c>
      <c r="F7" s="32">
        <f>'Tulud-Kulud'!F4</f>
        <v>140000</v>
      </c>
      <c r="G7" s="32">
        <f>'Tulud-Kulud'!G4</f>
        <v>142696.27272727271</v>
      </c>
      <c r="H7" s="32">
        <f>'Tulud-Kulud'!H4</f>
        <v>145444.47321611567</v>
      </c>
      <c r="I7" s="32">
        <f>'Tulud-Kulud'!I4</f>
        <v>148245.60154800967</v>
      </c>
      <c r="J7" s="32">
        <f>'Tulud-Kulud'!J4</f>
        <v>151100.67706509563</v>
      </c>
      <c r="K7" s="32">
        <f>'Tulud-Kulud'!K4</f>
        <v>154010.7387411175</v>
      </c>
      <c r="L7" s="32">
        <f>'Tulud-Kulud'!L4</f>
        <v>156976.84555950892</v>
      </c>
      <c r="M7" s="32">
        <f>'Tulud-Kulud'!M4</f>
        <v>160000.07689876179</v>
      </c>
      <c r="N7" s="32">
        <f>'Tulud-Kulud'!N4</f>
        <v>163081.53292521657</v>
      </c>
      <c r="O7" s="32">
        <f>'Tulud-Kulud'!O4</f>
        <v>166222.3349934172</v>
      </c>
      <c r="P7" s="32">
        <f>'Tulud-Kulud'!P4</f>
        <v>169423.62605417677</v>
      </c>
      <c r="Q7" s="32">
        <f>'Tulud-Kulud'!Q4</f>
        <v>172686.57107050199</v>
      </c>
      <c r="R7" s="32">
        <f>'Tulud-Kulud'!R4</f>
        <v>176012.35744152797</v>
      </c>
      <c r="S7" s="32">
        <f>'Tulud-Kulud'!S4</f>
        <v>179402.19543461775</v>
      </c>
      <c r="T7" s="32">
        <f>'Tulud-Kulud'!T4</f>
        <v>182857.31862578352</v>
      </c>
      <c r="U7" s="32">
        <f>'Tulud-Kulud'!U4</f>
        <v>186378.98434859005</v>
      </c>
      <c r="V7" s="32">
        <f>'Tulud-Kulud'!V4</f>
        <v>189968.47415170356</v>
      </c>
      <c r="W7" s="32">
        <f>'Tulud-Kulud'!W4</f>
        <v>193627.0942652525</v>
      </c>
      <c r="X7" s="32">
        <f>'Tulud-Kulud'!X4</f>
        <v>197356.17607617009</v>
      </c>
    </row>
    <row r="8" spans="2:24" x14ac:dyDescent="0.35">
      <c r="B8" s="11" t="s">
        <v>227</v>
      </c>
      <c r="C8" s="32"/>
      <c r="D8" s="32"/>
      <c r="E8" s="32">
        <f>'Tulud-Kulud'!E7</f>
        <v>5400</v>
      </c>
      <c r="F8" s="32">
        <f>'Tulud-Kulud'!F7</f>
        <v>5503.9990909090902</v>
      </c>
      <c r="G8" s="32">
        <f>'Tulud-Kulud'!G7</f>
        <v>5610.0011097644619</v>
      </c>
      <c r="H8" s="32">
        <f>'Tulud-Kulud'!H7</f>
        <v>5718.0446311375163</v>
      </c>
      <c r="I8" s="32">
        <f>'Tulud-Kulud'!I7</f>
        <v>5828.1689725108326</v>
      </c>
      <c r="J8" s="32">
        <f>'Tulud-Kulud'!J7</f>
        <v>5940.4142085859612</v>
      </c>
      <c r="K8" s="32">
        <f>'Tulud-Kulud'!K7</f>
        <v>6054.8211858667728</v>
      </c>
      <c r="L8" s="32">
        <f>'Tulud-Kulud'!L7</f>
        <v>6171.4315375236702</v>
      </c>
      <c r="M8" s="32">
        <f>'Tulud-Kulud'!M7</f>
        <v>6290.2876985440689</v>
      </c>
      <c r="N8" s="32">
        <f>'Tulud-Kulud'!N7</f>
        <v>6411.4329211746654</v>
      </c>
      <c r="O8" s="32">
        <f>'Tulud-Kulud'!O7</f>
        <v>6534.9112906611062</v>
      </c>
      <c r="P8" s="32">
        <f>'Tulud-Kulud'!P7</f>
        <v>6660.7677412907924</v>
      </c>
      <c r="Q8" s="32">
        <f>'Tulud-Kulud'!Q7</f>
        <v>6789.0480727446511</v>
      </c>
      <c r="R8" s="32">
        <f>'Tulud-Kulud'!R7</f>
        <v>6919.7989667638285</v>
      </c>
      <c r="S8" s="32">
        <f>'Tulud-Kulud'!S7</f>
        <v>7053.0680041373662</v>
      </c>
      <c r="T8" s="32">
        <f>'Tulud-Kulud'!T7</f>
        <v>7188.9036820170477</v>
      </c>
      <c r="U8" s="32">
        <f>'Tulud-Kulud'!U7</f>
        <v>7327.355431565712</v>
      </c>
      <c r="V8" s="32">
        <f>'Tulud-Kulud'!V7</f>
        <v>7468.4736359454564</v>
      </c>
      <c r="W8" s="32">
        <f>'Tulud-Kulud'!W7</f>
        <v>7612.3096486522782</v>
      </c>
      <c r="X8" s="32">
        <f>'Tulud-Kulud'!X7</f>
        <v>7758.9158122038216</v>
      </c>
    </row>
    <row r="9" spans="2:24" x14ac:dyDescent="0.35">
      <c r="B9" s="2" t="s">
        <v>29</v>
      </c>
      <c r="C9" s="30">
        <f t="shared" ref="C9:X9" si="4">C5+C6</f>
        <v>0</v>
      </c>
      <c r="D9" s="30">
        <f t="shared" si="4"/>
        <v>0</v>
      </c>
      <c r="E9" s="30">
        <f t="shared" si="4"/>
        <v>5400</v>
      </c>
      <c r="F9" s="30">
        <f t="shared" si="4"/>
        <v>145503.99909090908</v>
      </c>
      <c r="G9" s="30">
        <f t="shared" si="4"/>
        <v>148306.27383703718</v>
      </c>
      <c r="H9" s="30">
        <f t="shared" si="4"/>
        <v>151162.51784725318</v>
      </c>
      <c r="I9" s="30">
        <f t="shared" si="4"/>
        <v>154073.77052052051</v>
      </c>
      <c r="J9" s="30">
        <f t="shared" si="4"/>
        <v>157041.09127368158</v>
      </c>
      <c r="K9" s="30">
        <f t="shared" si="4"/>
        <v>160065.55992698428</v>
      </c>
      <c r="L9" s="30">
        <f t="shared" si="4"/>
        <v>163148.27709703258</v>
      </c>
      <c r="M9" s="30">
        <f t="shared" si="4"/>
        <v>166290.36459730586</v>
      </c>
      <c r="N9" s="30">
        <f t="shared" si="4"/>
        <v>169492.96584639122</v>
      </c>
      <c r="O9" s="30">
        <f t="shared" si="4"/>
        <v>172757.24628407831</v>
      </c>
      <c r="P9" s="30">
        <f t="shared" si="4"/>
        <v>176084.39379546756</v>
      </c>
      <c r="Q9" s="30">
        <f t="shared" si="4"/>
        <v>179475.61914324664</v>
      </c>
      <c r="R9" s="30">
        <f t="shared" si="4"/>
        <v>182932.1564082918</v>
      </c>
      <c r="S9" s="30">
        <f t="shared" si="4"/>
        <v>186455.26343875512</v>
      </c>
      <c r="T9" s="30">
        <f t="shared" si="4"/>
        <v>190046.22230780058</v>
      </c>
      <c r="U9" s="30">
        <f t="shared" si="4"/>
        <v>193706.33978015577</v>
      </c>
      <c r="V9" s="30">
        <f t="shared" si="4"/>
        <v>197436.94778764903</v>
      </c>
      <c r="W9" s="30">
        <f t="shared" si="4"/>
        <v>201239.40391390477</v>
      </c>
      <c r="X9" s="30">
        <f t="shared" si="4"/>
        <v>205115.09188837392</v>
      </c>
    </row>
    <row r="10" spans="2:24" x14ac:dyDescent="0.35">
      <c r="B10" t="s">
        <v>103</v>
      </c>
      <c r="C10" s="32"/>
      <c r="D10" s="32">
        <f>'Tulud-Kulud'!D9</f>
        <v>-30000</v>
      </c>
      <c r="E10" s="32">
        <f>'Tulud-Kulud'!E9</f>
        <v>-60000</v>
      </c>
      <c r="F10" s="32">
        <f>'Tulud-Kulud'!F9</f>
        <v>-61155.545454545449</v>
      </c>
      <c r="G10" s="32">
        <f>'Tulud-Kulud'!G9</f>
        <v>-62333.345664049579</v>
      </c>
      <c r="H10" s="32">
        <f>'Tulud-Kulud'!H9</f>
        <v>-63533.829234861296</v>
      </c>
      <c r="I10" s="32">
        <f>'Tulud-Kulud'!I9</f>
        <v>-64757.433027898143</v>
      </c>
      <c r="J10" s="32">
        <f>'Tulud-Kulud'!J9</f>
        <v>-66004.6023176218</v>
      </c>
      <c r="K10" s="32">
        <f>'Tulud-Kulud'!K9</f>
        <v>-67275.790954075273</v>
      </c>
      <c r="L10" s="32">
        <f>'Tulud-Kulud'!L9</f>
        <v>-68571.461528040803</v>
      </c>
      <c r="M10" s="32">
        <f>'Tulud-Kulud'!M9</f>
        <v>-69892.08553937856</v>
      </c>
      <c r="N10" s="32">
        <f>'Tulud-Kulud'!N9</f>
        <v>-71238.143568607411</v>
      </c>
      <c r="O10" s="32">
        <f>'Tulud-Kulud'!O9</f>
        <v>-72610.125451790082</v>
      </c>
      <c r="P10" s="32">
        <f>'Tulud-Kulud'!P9</f>
        <v>-74008.530458786598</v>
      </c>
      <c r="Q10" s="32">
        <f>'Tulud-Kulud'!Q9</f>
        <v>-75433.867474940591</v>
      </c>
      <c r="R10" s="32">
        <f>'Tulud-Kulud'!R9</f>
        <v>-76886.655186264776</v>
      </c>
      <c r="S10" s="32">
        <f>'Tulud-Kulud'!S9</f>
        <v>-78367.422268192968</v>
      </c>
      <c r="T10" s="32">
        <f>'Tulud-Kulud'!T9</f>
        <v>-79876.707577967201</v>
      </c>
      <c r="U10" s="32">
        <f>'Tulud-Kulud'!U9</f>
        <v>-81415.060350730142</v>
      </c>
      <c r="V10" s="32">
        <f>'Tulud-Kulud'!V9</f>
        <v>-82983.040399393969</v>
      </c>
      <c r="W10" s="32">
        <f>'Tulud-Kulud'!W9</f>
        <v>-84581.21831835866</v>
      </c>
      <c r="X10" s="32">
        <f>'Tulud-Kulud'!X9</f>
        <v>-86210.175691153592</v>
      </c>
    </row>
    <row r="11" spans="2:24" x14ac:dyDescent="0.35">
      <c r="B11" t="s">
        <v>226</v>
      </c>
      <c r="C11" s="32"/>
      <c r="D11" s="32">
        <f>'Tulud-Kulud'!D10</f>
        <v>-2916.6666666666665</v>
      </c>
      <c r="E11" s="32">
        <f>'Tulud-Kulud'!E10</f>
        <v>-11666.666666666666</v>
      </c>
      <c r="F11" s="32">
        <f>'Tulud-Kulud'!F10</f>
        <v>-17837.034090909088</v>
      </c>
      <c r="G11" s="32">
        <f>'Tulud-Kulud'!G10</f>
        <v>-18180.559152014459</v>
      </c>
      <c r="H11" s="32">
        <f>'Tulud-Kulud'!H10</f>
        <v>-18530.700193501209</v>
      </c>
      <c r="I11" s="32">
        <f>'Tulud-Kulud'!I10</f>
        <v>-18887.584633136954</v>
      </c>
      <c r="J11" s="32">
        <f>'Tulud-Kulud'!J10</f>
        <v>-19251.342342639684</v>
      </c>
      <c r="K11" s="32">
        <f>'Tulud-Kulud'!K10</f>
        <v>-19622.105694938611</v>
      </c>
      <c r="L11" s="32">
        <f>'Tulud-Kulud'!L10</f>
        <v>-20000.009612345224</v>
      </c>
      <c r="M11" s="32">
        <f>'Tulud-Kulud'!M10</f>
        <v>-20385.191615652071</v>
      </c>
      <c r="N11" s="32">
        <f>'Tulud-Kulud'!N10</f>
        <v>-20777.79187417715</v>
      </c>
      <c r="O11" s="32">
        <f>'Tulud-Kulud'!O10</f>
        <v>-21177.953256772096</v>
      </c>
      <c r="P11" s="32">
        <f>'Tulud-Kulud'!P10</f>
        <v>-21585.821383812745</v>
      </c>
      <c r="Q11" s="32">
        <f>'Tulud-Kulud'!Q10</f>
        <v>-22001.544680190993</v>
      </c>
      <c r="R11" s="32">
        <f>'Tulud-Kulud'!R10</f>
        <v>-22425.274429327215</v>
      </c>
      <c r="S11" s="32">
        <f>'Tulud-Kulud'!S10</f>
        <v>-22857.16482822294</v>
      </c>
      <c r="T11" s="32">
        <f>'Tulud-Kulud'!T10</f>
        <v>-23297.37304357376</v>
      </c>
      <c r="U11" s="32">
        <f>'Tulud-Kulud'!U10</f>
        <v>-23746.059268962948</v>
      </c>
      <c r="V11" s="32">
        <f>'Tulud-Kulud'!V10</f>
        <v>-24203.386783156566</v>
      </c>
      <c r="W11" s="32">
        <f>'Tulud-Kulud'!W10</f>
        <v>-24669.522009521264</v>
      </c>
      <c r="X11" s="32">
        <f>'Tulud-Kulud'!X10</f>
        <v>-25144.634576586453</v>
      </c>
    </row>
    <row r="12" spans="2:24" x14ac:dyDescent="0.35">
      <c r="B12" t="s">
        <v>101</v>
      </c>
      <c r="C12" s="32"/>
      <c r="D12" s="32">
        <f>'Tulud-Kulud'!D11</f>
        <v>-15000</v>
      </c>
      <c r="E12" s="32">
        <f>'Tulud-Kulud'!E11</f>
        <v>-15000</v>
      </c>
      <c r="F12" s="32">
        <f>'Tulud-Kulud'!F11</f>
        <v>-15288.886363636362</v>
      </c>
      <c r="G12" s="32">
        <f>'Tulud-Kulud'!G11</f>
        <v>-15583.336416012395</v>
      </c>
      <c r="H12" s="32">
        <f>'Tulud-Kulud'!H11</f>
        <v>-15883.457308715324</v>
      </c>
      <c r="I12" s="32">
        <f>'Tulud-Kulud'!I11</f>
        <v>-16189.358256974536</v>
      </c>
      <c r="J12" s="32">
        <f>'Tulud-Kulud'!J11</f>
        <v>-16501.15057940545</v>
      </c>
      <c r="K12" s="32">
        <f>'Tulud-Kulud'!K11</f>
        <v>-16818.947738518818</v>
      </c>
      <c r="L12" s="32">
        <f>'Tulud-Kulud'!L11</f>
        <v>-17142.865382010201</v>
      </c>
      <c r="M12" s="32">
        <f>'Tulud-Kulud'!M11</f>
        <v>-17473.02138484464</v>
      </c>
      <c r="N12" s="32">
        <f>'Tulud-Kulud'!N11</f>
        <v>-17809.535892151853</v>
      </c>
      <c r="O12" s="32">
        <f>'Tulud-Kulud'!O11</f>
        <v>-18152.53136294752</v>
      </c>
      <c r="P12" s="32">
        <f>'Tulud-Kulud'!P11</f>
        <v>-18502.132614696649</v>
      </c>
      <c r="Q12" s="32">
        <f>'Tulud-Kulud'!Q11</f>
        <v>-18858.466868735148</v>
      </c>
      <c r="R12" s="32">
        <f>'Tulud-Kulud'!R11</f>
        <v>-19221.663796566194</v>
      </c>
      <c r="S12" s="32">
        <f>'Tulud-Kulud'!S11</f>
        <v>-19591.855567048242</v>
      </c>
      <c r="T12" s="32">
        <f>'Tulud-Kulud'!T11</f>
        <v>-19969.1768944918</v>
      </c>
      <c r="U12" s="32">
        <f>'Tulud-Kulud'!U11</f>
        <v>-20353.765087682536</v>
      </c>
      <c r="V12" s="32">
        <f>'Tulud-Kulud'!V11</f>
        <v>-20745.760099848492</v>
      </c>
      <c r="W12" s="32">
        <f>'Tulud-Kulud'!W11</f>
        <v>-21145.304579589665</v>
      </c>
      <c r="X12" s="32">
        <f>'Tulud-Kulud'!X11</f>
        <v>-21552.543922788398</v>
      </c>
    </row>
    <row r="13" spans="2:24" x14ac:dyDescent="0.35">
      <c r="B13" s="20" t="s">
        <v>102</v>
      </c>
      <c r="C13" s="32"/>
      <c r="D13" s="32">
        <f>'Tulud-Kulud'!D12</f>
        <v>-2292.96</v>
      </c>
      <c r="E13" s="32">
        <f>'Tulud-Kulud'!E12</f>
        <v>-6878.88</v>
      </c>
      <c r="F13" s="32">
        <f>'Tulud-Kulud'!F12</f>
        <v>-7011.360975272727</v>
      </c>
      <c r="G13" s="32">
        <f>'Tulud-Kulud'!G12</f>
        <v>-7146.3934136919561</v>
      </c>
      <c r="H13" s="32">
        <f>'Tulud-Kulud'!H12</f>
        <v>-7284.0264541183778</v>
      </c>
      <c r="I13" s="32">
        <f>'Tulud-Kulud'!I12</f>
        <v>-7424.3101817824663</v>
      </c>
      <c r="J13" s="32">
        <f>'Tulud-Kulud'!J12</f>
        <v>-7567.2956465107036</v>
      </c>
      <c r="K13" s="32">
        <f>'Tulud-Kulud'!K12</f>
        <v>-7713.0348813028204</v>
      </c>
      <c r="L13" s="32">
        <f>'Tulud-Kulud'!L12</f>
        <v>-7861.58092126682</v>
      </c>
      <c r="M13" s="32">
        <f>'Tulud-Kulud'!M12</f>
        <v>-8012.9878229186716</v>
      </c>
      <c r="N13" s="32">
        <f>'Tulud-Kulud'!N12</f>
        <v>-8167.3106838537005</v>
      </c>
      <c r="O13" s="32">
        <f>'Tulud-Kulud'!O12</f>
        <v>-8324.6056627968283</v>
      </c>
      <c r="P13" s="32">
        <f>'Tulud-Kulud'!P12</f>
        <v>-8484.9300000389649</v>
      </c>
      <c r="Q13" s="32">
        <f>'Tulud-Kulud'!Q12</f>
        <v>-8648.3420382669883</v>
      </c>
      <c r="R13" s="32">
        <f>'Tulud-Kulud'!R12</f>
        <v>-8814.9012437948841</v>
      </c>
      <c r="S13" s="32">
        <f>'Tulud-Kulud'!S12</f>
        <v>-8984.6682282037873</v>
      </c>
      <c r="T13" s="32">
        <f>'Tulud-Kulud'!T12</f>
        <v>-9157.7047703987846</v>
      </c>
      <c r="U13" s="32">
        <f>'Tulud-Kulud'!U12</f>
        <v>-9334.0738390905099</v>
      </c>
      <c r="V13" s="32">
        <f>'Tulud-Kulud'!V12</f>
        <v>-9513.8396157097213</v>
      </c>
      <c r="W13" s="32">
        <f>'Tulud-Kulud'!W12</f>
        <v>-9697.0675177631838</v>
      </c>
      <c r="X13" s="32">
        <f>'Tulud-Kulud'!X12</f>
        <v>-9883.8242226393759</v>
      </c>
    </row>
    <row r="14" spans="2:24" x14ac:dyDescent="0.35">
      <c r="B14" s="20" t="s">
        <v>83</v>
      </c>
      <c r="C14" s="32"/>
      <c r="D14" s="32">
        <f>'Tulud-Kulud'!D13</f>
        <v>-7643.2</v>
      </c>
      <c r="E14" s="32">
        <f>'Tulud-Kulud'!E13</f>
        <v>-22929.599999999999</v>
      </c>
      <c r="F14" s="32">
        <f>'Tulud-Kulud'!F13</f>
        <v>-23371.20325090909</v>
      </c>
      <c r="G14" s="32">
        <f>'Tulud-Kulud'!G13</f>
        <v>-23821.311378973187</v>
      </c>
      <c r="H14" s="32">
        <f>'Tulud-Kulud'!H13</f>
        <v>-24280.088180394592</v>
      </c>
      <c r="I14" s="32">
        <f>'Tulud-Kulud'!I13</f>
        <v>-24747.700605941554</v>
      </c>
      <c r="J14" s="32">
        <f>'Tulud-Kulud'!J13</f>
        <v>-25224.318821702345</v>
      </c>
      <c r="K14" s="32">
        <f>'Tulud-Kulud'!K13</f>
        <v>-25710.116271009403</v>
      </c>
      <c r="L14" s="32">
        <f>'Tulud-Kulud'!L13</f>
        <v>-26205.269737556067</v>
      </c>
      <c r="M14" s="32">
        <f>'Tulud-Kulud'!M13</f>
        <v>-26709.959409728908</v>
      </c>
      <c r="N14" s="32">
        <f>'Tulud-Kulud'!N13</f>
        <v>-27224.368946179002</v>
      </c>
      <c r="O14" s="32">
        <f>'Tulud-Kulud'!O13</f>
        <v>-27748.685542656094</v>
      </c>
      <c r="P14" s="32">
        <f>'Tulud-Kulud'!P13</f>
        <v>-28283.100000129882</v>
      </c>
      <c r="Q14" s="32">
        <f>'Tulud-Kulud'!Q13</f>
        <v>-28827.806794223288</v>
      </c>
      <c r="R14" s="32">
        <f>'Tulud-Kulud'!R13</f>
        <v>-29383.004145982941</v>
      </c>
      <c r="S14" s="32">
        <f>'Tulud-Kulud'!S13</f>
        <v>-29948.894094012619</v>
      </c>
      <c r="T14" s="32">
        <f>'Tulud-Kulud'!T13</f>
        <v>-30525.682567995944</v>
      </c>
      <c r="U14" s="32">
        <f>'Tulud-Kulud'!U13</f>
        <v>-31113.579463635026</v>
      </c>
      <c r="V14" s="32">
        <f>'Tulud-Kulud'!V13</f>
        <v>-31712.798719032395</v>
      </c>
      <c r="W14" s="32">
        <f>'Tulud-Kulud'!W13</f>
        <v>-32323.558392543939</v>
      </c>
      <c r="X14" s="32">
        <f>'Tulud-Kulud'!X13</f>
        <v>-32946.080742131249</v>
      </c>
    </row>
    <row r="15" spans="2:24" x14ac:dyDescent="0.35">
      <c r="B15" t="s">
        <v>28</v>
      </c>
      <c r="C15" s="32"/>
      <c r="D15" s="32">
        <f>'Tulud-Kulud'!D14</f>
        <v>-24405.120000000003</v>
      </c>
      <c r="E15" s="32">
        <f>'Tulud-Kulud'!E14</f>
        <v>-109823.04000000001</v>
      </c>
      <c r="F15" s="32">
        <f>'Tulud-Kulud'!F14</f>
        <v>-114336.17127860212</v>
      </c>
      <c r="G15" s="32">
        <f>'Tulud-Kulud'!G14</f>
        <v>-119034.76777413776</v>
      </c>
      <c r="H15" s="32">
        <f>'Tulud-Kulud'!H14</f>
        <v>-123926.45110108447</v>
      </c>
      <c r="I15" s="32">
        <f>'Tulud-Kulud'!I14</f>
        <v>-129019.15608093624</v>
      </c>
      <c r="J15" s="32">
        <f>'Tulud-Kulud'!J14</f>
        <v>-134321.14361331309</v>
      </c>
      <c r="K15" s="32">
        <f>'Tulud-Kulud'!K14</f>
        <v>-139841.01407600337</v>
      </c>
      <c r="L15" s="32">
        <f>'Tulud-Kulud'!L14</f>
        <v>-145587.7212756752</v>
      </c>
      <c r="M15" s="32">
        <f>'Tulud-Kulud'!M14</f>
        <v>-151570.58697188663</v>
      </c>
      <c r="N15" s="32">
        <f>'Tulud-Kulud'!N14</f>
        <v>-157799.31599795353</v>
      </c>
      <c r="O15" s="32">
        <f>'Tulud-Kulud'!O14</f>
        <v>-164284.0120032033</v>
      </c>
      <c r="P15" s="32">
        <f>'Tulud-Kulud'!P14</f>
        <v>-171035.19384214986</v>
      </c>
      <c r="Q15" s="32">
        <f>'Tulud-Kulud'!Q14</f>
        <v>-178063.81263717488</v>
      </c>
      <c r="R15" s="32">
        <f>'Tulud-Kulud'!R14</f>
        <v>-185381.26954239246</v>
      </c>
      <c r="S15" s="32">
        <f>'Tulud-Kulud'!S14</f>
        <v>-192999.43423751238</v>
      </c>
      <c r="T15" s="32">
        <f>'Tulud-Kulud'!T14</f>
        <v>-200930.66418170102</v>
      </c>
      <c r="U15" s="32">
        <f>'Tulud-Kulud'!U14</f>
        <v>-209187.82465867139</v>
      </c>
      <c r="V15" s="32">
        <f>'Tulud-Kulud'!V14</f>
        <v>-217784.30964551738</v>
      </c>
      <c r="W15" s="32">
        <f>'Tulud-Kulud'!W14</f>
        <v>-226734.06353914438</v>
      </c>
      <c r="X15" s="32">
        <f>'Tulud-Kulud'!X14</f>
        <v>-236051.60377553804</v>
      </c>
    </row>
    <row r="16" spans="2:24" x14ac:dyDescent="0.35">
      <c r="B16" t="s">
        <v>162</v>
      </c>
      <c r="C16" s="32"/>
      <c r="D16" s="32">
        <f>'Tulud-Kulud'!D17</f>
        <v>-1000</v>
      </c>
      <c r="E16" s="32">
        <f>'Tulud-Kulud'!E17</f>
        <v>-1000</v>
      </c>
      <c r="F16" s="32">
        <f>'Tulud-Kulud'!F17</f>
        <v>-1019.2590909090908</v>
      </c>
      <c r="G16" s="32">
        <f>'Tulud-Kulud'!G17</f>
        <v>-1038.8890944008263</v>
      </c>
      <c r="H16" s="32">
        <f>'Tulud-Kulud'!H17</f>
        <v>-1058.8971539143549</v>
      </c>
      <c r="I16" s="32">
        <f>'Tulud-Kulud'!I17</f>
        <v>-1079.2905504649691</v>
      </c>
      <c r="J16" s="32">
        <f>'Tulud-Kulud'!J17</f>
        <v>-1100.0767052936967</v>
      </c>
      <c r="K16" s="32">
        <f>'Tulud-Kulud'!K17</f>
        <v>-1121.2631825679211</v>
      </c>
      <c r="L16" s="32">
        <f>'Tulud-Kulud'!L17</f>
        <v>-1142.8576921340132</v>
      </c>
      <c r="M16" s="32">
        <f>'Tulud-Kulud'!M17</f>
        <v>-1164.8680923229758</v>
      </c>
      <c r="N16" s="32">
        <f>'Tulud-Kulud'!N17</f>
        <v>-1187.3023928101231</v>
      </c>
      <c r="O16" s="32">
        <f>'Tulud-Kulud'!O17</f>
        <v>-1210.1687575298345</v>
      </c>
      <c r="P16" s="32">
        <f>'Tulud-Kulud'!P17</f>
        <v>-1233.475507646443</v>
      </c>
      <c r="Q16" s="32">
        <f>'Tulud-Kulud'!Q17</f>
        <v>-1257.2311245823428</v>
      </c>
      <c r="R16" s="32">
        <f>'Tulud-Kulud'!R17</f>
        <v>-1281.4442531044126</v>
      </c>
      <c r="S16" s="32">
        <f>'Tulud-Kulud'!S17</f>
        <v>-1306.1237044698826</v>
      </c>
      <c r="T16" s="32">
        <f>'Tulud-Kulud'!T17</f>
        <v>-1331.2784596327865</v>
      </c>
      <c r="U16" s="32">
        <f>'Tulud-Kulud'!U17</f>
        <v>-1356.9176725121688</v>
      </c>
      <c r="V16" s="32">
        <f>'Tulud-Kulud'!V17</f>
        <v>-1383.0506733232326</v>
      </c>
      <c r="W16" s="32">
        <f>'Tulud-Kulud'!W17</f>
        <v>-1409.686971972644</v>
      </c>
      <c r="X16" s="32">
        <f>'Tulud-Kulud'!X17</f>
        <v>-1436.8362615192261</v>
      </c>
    </row>
    <row r="17" spans="2:24" x14ac:dyDescent="0.35">
      <c r="B17" t="s">
        <v>51</v>
      </c>
      <c r="C17" s="32"/>
      <c r="D17" s="32">
        <f>'Tulud-Kulud'!D18</f>
        <v>-6666.666666666667</v>
      </c>
      <c r="E17" s="32">
        <f>'Tulud-Kulud'!E18</f>
        <v>-20000</v>
      </c>
      <c r="F17" s="32">
        <f>'Tulud-Kulud'!F18</f>
        <v>-20385.181818181816</v>
      </c>
      <c r="G17" s="32">
        <f>'Tulud-Kulud'!G18</f>
        <v>-20777.781888016525</v>
      </c>
      <c r="H17" s="32">
        <f>'Tulud-Kulud'!H18</f>
        <v>-21177.943078287095</v>
      </c>
      <c r="I17" s="32">
        <f>'Tulud-Kulud'!I18</f>
        <v>-21585.811009299377</v>
      </c>
      <c r="J17" s="32">
        <f>'Tulud-Kulud'!J18</f>
        <v>-22001.534105873929</v>
      </c>
      <c r="K17" s="32">
        <f>'Tulud-Kulud'!K18</f>
        <v>-22425.263651358418</v>
      </c>
      <c r="L17" s="32">
        <f>'Tulud-Kulud'!L18</f>
        <v>-22857.153842680262</v>
      </c>
      <c r="M17" s="32">
        <f>'Tulud-Kulud'!M18</f>
        <v>-23297.361846459517</v>
      </c>
      <c r="N17" s="32">
        <f>'Tulud-Kulud'!N18</f>
        <v>-23746.047856202465</v>
      </c>
      <c r="O17" s="32">
        <f>'Tulud-Kulud'!O18</f>
        <v>-24203.37515059669</v>
      </c>
      <c r="P17" s="32">
        <f>'Tulud-Kulud'!P18</f>
        <v>-24669.510152928862</v>
      </c>
      <c r="Q17" s="32">
        <f>'Tulud-Kulud'!Q18</f>
        <v>-25144.62249164686</v>
      </c>
      <c r="R17" s="32">
        <f>'Tulud-Kulud'!R18</f>
        <v>-25628.885062088259</v>
      </c>
      <c r="S17" s="32">
        <f>'Tulud-Kulud'!S18</f>
        <v>-26122.474089397656</v>
      </c>
      <c r="T17" s="32">
        <f>'Tulud-Kulud'!T18</f>
        <v>-26625.569192655734</v>
      </c>
      <c r="U17" s="32">
        <f>'Tulud-Kulud'!U18</f>
        <v>-27138.353450243379</v>
      </c>
      <c r="V17" s="32">
        <f>'Tulud-Kulud'!V18</f>
        <v>-27661.013466464654</v>
      </c>
      <c r="W17" s="32">
        <f>'Tulud-Kulud'!W18</f>
        <v>-28193.739439452882</v>
      </c>
      <c r="X17" s="32">
        <f>'Tulud-Kulud'!X18</f>
        <v>-28736.725230384523</v>
      </c>
    </row>
    <row r="18" spans="2:24" x14ac:dyDescent="0.35">
      <c r="B18" s="3" t="s">
        <v>30</v>
      </c>
      <c r="C18" s="31">
        <f t="shared" ref="C18:X18" si="5">SUM(C10:C17)</f>
        <v>0</v>
      </c>
      <c r="D18" s="31">
        <f t="shared" si="5"/>
        <v>-89924.613333333327</v>
      </c>
      <c r="E18" s="31">
        <f t="shared" si="5"/>
        <v>-247298.18666666668</v>
      </c>
      <c r="F18" s="31">
        <f t="shared" si="5"/>
        <v>-260404.64232296575</v>
      </c>
      <c r="G18" s="31">
        <f t="shared" si="5"/>
        <v>-267916.38478129666</v>
      </c>
      <c r="H18" s="31">
        <f t="shared" si="5"/>
        <v>-275675.39270487672</v>
      </c>
      <c r="I18" s="31">
        <f t="shared" si="5"/>
        <v>-283690.64434643422</v>
      </c>
      <c r="J18" s="31">
        <f t="shared" si="5"/>
        <v>-291971.46413236065</v>
      </c>
      <c r="K18" s="31">
        <f t="shared" si="5"/>
        <v>-300527.53644977463</v>
      </c>
      <c r="L18" s="31">
        <f t="shared" si="5"/>
        <v>-309368.91999170859</v>
      </c>
      <c r="M18" s="31">
        <f t="shared" si="5"/>
        <v>-318506.06268319197</v>
      </c>
      <c r="N18" s="31">
        <f t="shared" si="5"/>
        <v>-327949.81721193524</v>
      </c>
      <c r="O18" s="31">
        <f t="shared" si="5"/>
        <v>-337711.45718829235</v>
      </c>
      <c r="P18" s="31">
        <f t="shared" si="5"/>
        <v>-347802.69396019005</v>
      </c>
      <c r="Q18" s="31">
        <f t="shared" si="5"/>
        <v>-358235.6941097611</v>
      </c>
      <c r="R18" s="31">
        <f t="shared" si="5"/>
        <v>-369023.09765952115</v>
      </c>
      <c r="S18" s="31">
        <f t="shared" si="5"/>
        <v>-380178.0370170605</v>
      </c>
      <c r="T18" s="31">
        <f t="shared" si="5"/>
        <v>-391714.15668841702</v>
      </c>
      <c r="U18" s="31">
        <f t="shared" si="5"/>
        <v>-403645.63379152812</v>
      </c>
      <c r="V18" s="31">
        <f t="shared" si="5"/>
        <v>-415987.19940244645</v>
      </c>
      <c r="W18" s="31">
        <f t="shared" si="5"/>
        <v>-428754.16076834657</v>
      </c>
      <c r="X18" s="31">
        <f t="shared" si="5"/>
        <v>-441962.42442274082</v>
      </c>
    </row>
    <row r="19" spans="2:24" x14ac:dyDescent="0.35">
      <c r="B19" s="2" t="s">
        <v>31</v>
      </c>
      <c r="C19" s="30">
        <f t="shared" ref="C19:X19" si="6">C9+C18</f>
        <v>0</v>
      </c>
      <c r="D19" s="30">
        <f t="shared" si="6"/>
        <v>-89924.613333333327</v>
      </c>
      <c r="E19" s="30">
        <f t="shared" si="6"/>
        <v>-241898.18666666668</v>
      </c>
      <c r="F19" s="30">
        <f t="shared" si="6"/>
        <v>-114900.64323205667</v>
      </c>
      <c r="G19" s="30">
        <f t="shared" si="6"/>
        <v>-119610.11094425948</v>
      </c>
      <c r="H19" s="30">
        <f t="shared" si="6"/>
        <v>-124512.87485762354</v>
      </c>
      <c r="I19" s="30">
        <f t="shared" si="6"/>
        <v>-129616.8738259137</v>
      </c>
      <c r="J19" s="30">
        <f t="shared" si="6"/>
        <v>-134930.37285867907</v>
      </c>
      <c r="K19" s="30">
        <f t="shared" si="6"/>
        <v>-140461.97652279036</v>
      </c>
      <c r="L19" s="30">
        <f t="shared" si="6"/>
        <v>-146220.64289467601</v>
      </c>
      <c r="M19" s="30">
        <f t="shared" si="6"/>
        <v>-152215.69808588611</v>
      </c>
      <c r="N19" s="30">
        <f t="shared" si="6"/>
        <v>-158456.85136554402</v>
      </c>
      <c r="O19" s="30">
        <f t="shared" si="6"/>
        <v>-164954.21090421404</v>
      </c>
      <c r="P19" s="30">
        <f t="shared" si="6"/>
        <v>-171718.30016472249</v>
      </c>
      <c r="Q19" s="30">
        <f t="shared" si="6"/>
        <v>-178760.07496651445</v>
      </c>
      <c r="R19" s="30">
        <f t="shared" si="6"/>
        <v>-186090.94125122935</v>
      </c>
      <c r="S19" s="30">
        <f t="shared" si="6"/>
        <v>-193722.77357830538</v>
      </c>
      <c r="T19" s="30">
        <f t="shared" si="6"/>
        <v>-201667.93438061644</v>
      </c>
      <c r="U19" s="30">
        <f t="shared" si="6"/>
        <v>-209939.29401137235</v>
      </c>
      <c r="V19" s="30">
        <f t="shared" si="6"/>
        <v>-218550.25161479742</v>
      </c>
      <c r="W19" s="30">
        <f t="shared" si="6"/>
        <v>-227514.7568544418</v>
      </c>
      <c r="X19" s="30">
        <f t="shared" si="6"/>
        <v>-236847.3325343669</v>
      </c>
    </row>
    <row r="20" spans="2:24" x14ac:dyDescent="0.35">
      <c r="B20" t="s">
        <v>32</v>
      </c>
      <c r="C20" s="32"/>
      <c r="D20" s="32">
        <f>IF(SUM($C$20:C20)&gt;-Eelarve_kool!$C$10,-Eelarve_kool!$C$10/Eeldused!$D$9,0)/12*4</f>
        <v>-29768.375</v>
      </c>
      <c r="E20" s="32">
        <f>IF(SUM($C$20:D20)&gt;-Eelarve_kool!$C$10,-Eelarve_kool!$C$10/Eeldused!$D$9,0)</f>
        <v>-89305.125</v>
      </c>
      <c r="F20" s="32">
        <f>IF(SUM($C$20:E20)&gt;-Eelarve_kool!$C$10,-Eelarve_kool!$C$10/Eeldused!$D$9,0)</f>
        <v>-89305.125</v>
      </c>
      <c r="G20" s="32">
        <f>IF(SUM($C$20:F20)&gt;-Eelarve_kool!$C$10,-Eelarve_kool!$C$10/Eeldused!$D$9,0)</f>
        <v>-89305.125</v>
      </c>
      <c r="H20" s="32">
        <f>IF(SUM($C$20:G20)&gt;-Eelarve_kool!$C$10,-Eelarve_kool!$C$10/Eeldused!$D$9,0)</f>
        <v>-89305.125</v>
      </c>
      <c r="I20" s="32">
        <f>IF(SUM($C$20:H20)&gt;-Eelarve_kool!$C$10,-Eelarve_kool!$C$10/Eeldused!$D$9,0)</f>
        <v>-89305.125</v>
      </c>
      <c r="J20" s="32">
        <f>IF(SUM($C$20:I20)&gt;-Eelarve_kool!$C$10,-Eelarve_kool!$C$10/Eeldused!$D$9,0)</f>
        <v>-89305.125</v>
      </c>
      <c r="K20" s="32">
        <f>IF(SUM($C$20:J20)&gt;-Eelarve_kool!$C$10,-Eelarve_kool!$C$10/Eeldused!$D$9,0)</f>
        <v>-89305.125</v>
      </c>
      <c r="L20" s="32">
        <f>IF(SUM($C$20:K20)&gt;-Eelarve_kool!$C$10,-Eelarve_kool!$C$10/Eeldused!$D$9,0)</f>
        <v>-89305.125</v>
      </c>
      <c r="M20" s="32">
        <f>IF(SUM($C$20:L20)&gt;-Eelarve_kool!$C$10,-Eelarve_kool!$C$10/Eeldused!$D$9,0)</f>
        <v>-89305.125</v>
      </c>
      <c r="N20" s="32">
        <f>IF(SUM($C$20:M20)&gt;-Eelarve_kool!$C$10,-Eelarve_kool!$C$10/Eeldused!$D$9,0)</f>
        <v>-89305.125</v>
      </c>
      <c r="O20" s="32">
        <f>IF(SUM($C$20:N20)&gt;-Eelarve_kool!$C$10,-Eelarve_kool!$C$10/Eeldused!$D$9,0)</f>
        <v>-89305.125</v>
      </c>
      <c r="P20" s="32">
        <f>IF(SUM($C$20:O20)&gt;-Eelarve_kool!$C$10,-Eelarve_kool!$C$10/Eeldused!$D$9,0)</f>
        <v>-89305.125</v>
      </c>
      <c r="Q20" s="32">
        <f>IF(SUM($C$20:P20)&gt;-Eelarve_kool!$C$10,-Eelarve_kool!$C$10/Eeldused!$D$9,0)</f>
        <v>-89305.125</v>
      </c>
      <c r="R20" s="32">
        <f>IF(SUM($C$20:Q20)&gt;-Eelarve_kool!$C$10,-Eelarve_kool!$C$10/Eeldused!$D$9,0)</f>
        <v>-89305.125</v>
      </c>
      <c r="S20" s="32">
        <f>IF(SUM($C$20:R20)&gt;-Eelarve_kool!$C$10,-Eelarve_kool!$C$10/Eeldused!$D$9,0)</f>
        <v>-89305.125</v>
      </c>
      <c r="T20" s="32">
        <f>IF(SUM($C$20:S20)&gt;-Eelarve_kool!$C$10,-Eelarve_kool!$C$10/Eeldused!$D$9,0)</f>
        <v>-89305.125</v>
      </c>
      <c r="U20" s="32">
        <f>IF(SUM($C$20:T20)&gt;-Eelarve_kool!$C$10,-Eelarve_kool!$C$10/Eeldused!$D$9,0)</f>
        <v>-89305.125</v>
      </c>
      <c r="V20" s="32">
        <f>IF(SUM($C$20:U20)&gt;-Eelarve_kool!$C$10,-Eelarve_kool!$C$10/Eeldused!$D$9,0)</f>
        <v>-89305.125</v>
      </c>
      <c r="W20" s="32">
        <f>IF(SUM($C$20:V20)&gt;-Eelarve_kool!$C$10,-Eelarve_kool!$C$10/Eeldused!$D$9,0)</f>
        <v>-89305.125</v>
      </c>
      <c r="X20" s="32">
        <f>IF(SUM($C$20:W20)&gt;-Eelarve_kool!$C$10,-Eelarve_kool!$C$10/Eeldused!$D$9,0)/12*8</f>
        <v>-59536.75</v>
      </c>
    </row>
    <row r="21" spans="2:24" x14ac:dyDescent="0.35">
      <c r="B21" s="2" t="s">
        <v>33</v>
      </c>
      <c r="C21" s="30">
        <f>C19+C20</f>
        <v>0</v>
      </c>
      <c r="D21" s="30">
        <f t="shared" ref="D21:X21" si="7">D19+D20</f>
        <v>-119692.98833333333</v>
      </c>
      <c r="E21" s="30">
        <f t="shared" si="7"/>
        <v>-331203.31166666665</v>
      </c>
      <c r="F21" s="30">
        <f t="shared" si="7"/>
        <v>-204205.76823205667</v>
      </c>
      <c r="G21" s="30">
        <f t="shared" si="7"/>
        <v>-208915.23594425948</v>
      </c>
      <c r="H21" s="30">
        <f t="shared" si="7"/>
        <v>-213817.99985762354</v>
      </c>
      <c r="I21" s="30">
        <f t="shared" si="7"/>
        <v>-218921.9988259137</v>
      </c>
      <c r="J21" s="30">
        <f t="shared" si="7"/>
        <v>-224235.49785867907</v>
      </c>
      <c r="K21" s="30">
        <f t="shared" si="7"/>
        <v>-229767.10152279036</v>
      </c>
      <c r="L21" s="30">
        <f t="shared" si="7"/>
        <v>-235525.76789467601</v>
      </c>
      <c r="M21" s="30">
        <f t="shared" si="7"/>
        <v>-241520.82308588611</v>
      </c>
      <c r="N21" s="30">
        <f t="shared" si="7"/>
        <v>-247761.97636554402</v>
      </c>
      <c r="O21" s="30">
        <f t="shared" si="7"/>
        <v>-254259.33590421404</v>
      </c>
      <c r="P21" s="30">
        <f t="shared" si="7"/>
        <v>-261023.42516472249</v>
      </c>
      <c r="Q21" s="30">
        <f t="shared" si="7"/>
        <v>-268065.19996651448</v>
      </c>
      <c r="R21" s="30">
        <f t="shared" si="7"/>
        <v>-275396.06625122938</v>
      </c>
      <c r="S21" s="30">
        <f t="shared" si="7"/>
        <v>-283027.89857830538</v>
      </c>
      <c r="T21" s="30">
        <f t="shared" si="7"/>
        <v>-290973.05938061641</v>
      </c>
      <c r="U21" s="30">
        <f t="shared" si="7"/>
        <v>-299244.41901137237</v>
      </c>
      <c r="V21" s="30">
        <f t="shared" si="7"/>
        <v>-307855.37661479739</v>
      </c>
      <c r="W21" s="30">
        <f t="shared" si="7"/>
        <v>-316819.88185444183</v>
      </c>
      <c r="X21" s="30">
        <f t="shared" si="7"/>
        <v>-296384.08253436687</v>
      </c>
    </row>
    <row r="22" spans="2:24" x14ac:dyDescent="0.35">
      <c r="B22" t="s">
        <v>34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2:24" x14ac:dyDescent="0.35">
      <c r="B23" s="97" t="s">
        <v>35</v>
      </c>
      <c r="C23" s="144">
        <f>C21+C22</f>
        <v>0</v>
      </c>
      <c r="D23" s="144">
        <f t="shared" ref="D23:X23" si="8">D21+D22</f>
        <v>-119692.98833333333</v>
      </c>
      <c r="E23" s="144">
        <f t="shared" si="8"/>
        <v>-331203.31166666665</v>
      </c>
      <c r="F23" s="144">
        <f t="shared" si="8"/>
        <v>-204205.76823205667</v>
      </c>
      <c r="G23" s="144">
        <f t="shared" si="8"/>
        <v>-208915.23594425948</v>
      </c>
      <c r="H23" s="144">
        <f t="shared" si="8"/>
        <v>-213817.99985762354</v>
      </c>
      <c r="I23" s="144">
        <f t="shared" si="8"/>
        <v>-218921.9988259137</v>
      </c>
      <c r="J23" s="144">
        <f t="shared" si="8"/>
        <v>-224235.49785867907</v>
      </c>
      <c r="K23" s="144">
        <f t="shared" si="8"/>
        <v>-229767.10152279036</v>
      </c>
      <c r="L23" s="144">
        <f t="shared" si="8"/>
        <v>-235525.76789467601</v>
      </c>
      <c r="M23" s="144">
        <f t="shared" si="8"/>
        <v>-241520.82308588611</v>
      </c>
      <c r="N23" s="144">
        <f t="shared" si="8"/>
        <v>-247761.97636554402</v>
      </c>
      <c r="O23" s="144">
        <f t="shared" si="8"/>
        <v>-254259.33590421404</v>
      </c>
      <c r="P23" s="144">
        <f t="shared" si="8"/>
        <v>-261023.42516472249</v>
      </c>
      <c r="Q23" s="144">
        <f t="shared" si="8"/>
        <v>-268065.19996651448</v>
      </c>
      <c r="R23" s="144">
        <f t="shared" si="8"/>
        <v>-275396.06625122938</v>
      </c>
      <c r="S23" s="144">
        <f t="shared" si="8"/>
        <v>-283027.89857830538</v>
      </c>
      <c r="T23" s="144">
        <f t="shared" si="8"/>
        <v>-290973.05938061641</v>
      </c>
      <c r="U23" s="144">
        <f t="shared" si="8"/>
        <v>-299244.41901137237</v>
      </c>
      <c r="V23" s="144">
        <f t="shared" si="8"/>
        <v>-307855.37661479739</v>
      </c>
      <c r="W23" s="144">
        <f t="shared" si="8"/>
        <v>-316819.88185444183</v>
      </c>
      <c r="X23" s="144">
        <f t="shared" si="8"/>
        <v>-296384.08253436687</v>
      </c>
    </row>
    <row r="24" spans="2:24" x14ac:dyDescent="0.3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2:24" x14ac:dyDescent="0.35">
      <c r="B25" s="97" t="s">
        <v>36</v>
      </c>
      <c r="C25" s="146">
        <f>C4</f>
        <v>2024</v>
      </c>
      <c r="D25" s="146">
        <f t="shared" ref="D25:X25" si="9">D4</f>
        <v>2025</v>
      </c>
      <c r="E25" s="146">
        <f t="shared" si="9"/>
        <v>2026</v>
      </c>
      <c r="F25" s="146">
        <f t="shared" si="9"/>
        <v>2027</v>
      </c>
      <c r="G25" s="146">
        <f t="shared" si="9"/>
        <v>2028</v>
      </c>
      <c r="H25" s="146">
        <f t="shared" si="9"/>
        <v>2029</v>
      </c>
      <c r="I25" s="146">
        <f t="shared" si="9"/>
        <v>2030</v>
      </c>
      <c r="J25" s="146">
        <f t="shared" si="9"/>
        <v>2031</v>
      </c>
      <c r="K25" s="146">
        <f t="shared" si="9"/>
        <v>2032</v>
      </c>
      <c r="L25" s="146">
        <f t="shared" si="9"/>
        <v>2033</v>
      </c>
      <c r="M25" s="146">
        <f t="shared" si="9"/>
        <v>2034</v>
      </c>
      <c r="N25" s="146">
        <f t="shared" si="9"/>
        <v>2035</v>
      </c>
      <c r="O25" s="146">
        <f t="shared" si="9"/>
        <v>2036</v>
      </c>
      <c r="P25" s="146">
        <f t="shared" si="9"/>
        <v>2037</v>
      </c>
      <c r="Q25" s="146">
        <f t="shared" si="9"/>
        <v>2038</v>
      </c>
      <c r="R25" s="146">
        <f t="shared" si="9"/>
        <v>2039</v>
      </c>
      <c r="S25" s="146">
        <f t="shared" si="9"/>
        <v>2040</v>
      </c>
      <c r="T25" s="146">
        <f t="shared" si="9"/>
        <v>2041</v>
      </c>
      <c r="U25" s="146">
        <f t="shared" si="9"/>
        <v>2042</v>
      </c>
      <c r="V25" s="146">
        <f t="shared" si="9"/>
        <v>2043</v>
      </c>
      <c r="W25" s="146">
        <f t="shared" si="9"/>
        <v>2044</v>
      </c>
      <c r="X25" s="146">
        <f t="shared" si="9"/>
        <v>2045</v>
      </c>
    </row>
    <row r="26" spans="2:24" x14ac:dyDescent="0.35">
      <c r="B26" t="s">
        <v>33</v>
      </c>
      <c r="C26" s="32">
        <f>C21</f>
        <v>0</v>
      </c>
      <c r="D26" s="32">
        <f t="shared" ref="D26:X26" si="10">D21</f>
        <v>-119692.98833333333</v>
      </c>
      <c r="E26" s="32">
        <f t="shared" si="10"/>
        <v>-331203.31166666665</v>
      </c>
      <c r="F26" s="32">
        <f t="shared" si="10"/>
        <v>-204205.76823205667</v>
      </c>
      <c r="G26" s="32">
        <f t="shared" si="10"/>
        <v>-208915.23594425948</v>
      </c>
      <c r="H26" s="32">
        <f t="shared" si="10"/>
        <v>-213817.99985762354</v>
      </c>
      <c r="I26" s="32">
        <f t="shared" si="10"/>
        <v>-218921.9988259137</v>
      </c>
      <c r="J26" s="32">
        <f t="shared" si="10"/>
        <v>-224235.49785867907</v>
      </c>
      <c r="K26" s="32">
        <f t="shared" si="10"/>
        <v>-229767.10152279036</v>
      </c>
      <c r="L26" s="32">
        <f t="shared" si="10"/>
        <v>-235525.76789467601</v>
      </c>
      <c r="M26" s="32">
        <f t="shared" si="10"/>
        <v>-241520.82308588611</v>
      </c>
      <c r="N26" s="32">
        <f t="shared" si="10"/>
        <v>-247761.97636554402</v>
      </c>
      <c r="O26" s="32">
        <f t="shared" si="10"/>
        <v>-254259.33590421404</v>
      </c>
      <c r="P26" s="32">
        <f t="shared" si="10"/>
        <v>-261023.42516472249</v>
      </c>
      <c r="Q26" s="32">
        <f t="shared" si="10"/>
        <v>-268065.19996651448</v>
      </c>
      <c r="R26" s="32">
        <f t="shared" si="10"/>
        <v>-275396.06625122938</v>
      </c>
      <c r="S26" s="32">
        <f t="shared" si="10"/>
        <v>-283027.89857830538</v>
      </c>
      <c r="T26" s="32">
        <f t="shared" si="10"/>
        <v>-290973.05938061641</v>
      </c>
      <c r="U26" s="32">
        <f t="shared" si="10"/>
        <v>-299244.41901137237</v>
      </c>
      <c r="V26" s="32">
        <f t="shared" si="10"/>
        <v>-307855.37661479739</v>
      </c>
      <c r="W26" s="32">
        <f t="shared" si="10"/>
        <v>-316819.88185444183</v>
      </c>
      <c r="X26" s="32">
        <f t="shared" si="10"/>
        <v>-296384.08253436687</v>
      </c>
    </row>
    <row r="27" spans="2:24" x14ac:dyDescent="0.35">
      <c r="B27" t="s">
        <v>32</v>
      </c>
      <c r="C27" s="32">
        <f>-C20</f>
        <v>0</v>
      </c>
      <c r="D27" s="32">
        <f t="shared" ref="D27:X27" si="11">-D20</f>
        <v>29768.375</v>
      </c>
      <c r="E27" s="32">
        <f t="shared" si="11"/>
        <v>89305.125</v>
      </c>
      <c r="F27" s="32">
        <f t="shared" si="11"/>
        <v>89305.125</v>
      </c>
      <c r="G27" s="32">
        <f t="shared" si="11"/>
        <v>89305.125</v>
      </c>
      <c r="H27" s="32">
        <f t="shared" si="11"/>
        <v>89305.125</v>
      </c>
      <c r="I27" s="32">
        <f t="shared" si="11"/>
        <v>89305.125</v>
      </c>
      <c r="J27" s="32">
        <f t="shared" si="11"/>
        <v>89305.125</v>
      </c>
      <c r="K27" s="32">
        <f t="shared" si="11"/>
        <v>89305.125</v>
      </c>
      <c r="L27" s="32">
        <f t="shared" si="11"/>
        <v>89305.125</v>
      </c>
      <c r="M27" s="32">
        <f t="shared" si="11"/>
        <v>89305.125</v>
      </c>
      <c r="N27" s="32">
        <f t="shared" si="11"/>
        <v>89305.125</v>
      </c>
      <c r="O27" s="32">
        <f t="shared" si="11"/>
        <v>89305.125</v>
      </c>
      <c r="P27" s="32">
        <f t="shared" si="11"/>
        <v>89305.125</v>
      </c>
      <c r="Q27" s="32">
        <f t="shared" si="11"/>
        <v>89305.125</v>
      </c>
      <c r="R27" s="32">
        <f t="shared" si="11"/>
        <v>89305.125</v>
      </c>
      <c r="S27" s="32">
        <f t="shared" si="11"/>
        <v>89305.125</v>
      </c>
      <c r="T27" s="32">
        <f t="shared" si="11"/>
        <v>89305.125</v>
      </c>
      <c r="U27" s="32">
        <f t="shared" si="11"/>
        <v>89305.125</v>
      </c>
      <c r="V27" s="32">
        <f t="shared" si="11"/>
        <v>89305.125</v>
      </c>
      <c r="W27" s="32">
        <f t="shared" si="11"/>
        <v>89305.125</v>
      </c>
      <c r="X27" s="32">
        <f t="shared" si="11"/>
        <v>59536.75</v>
      </c>
    </row>
    <row r="28" spans="2:24" x14ac:dyDescent="0.35">
      <c r="B28" s="2" t="s">
        <v>38</v>
      </c>
      <c r="C28" s="30">
        <f>SUM(C26:C27)</f>
        <v>0</v>
      </c>
      <c r="D28" s="30">
        <f t="shared" ref="D28:X28" si="12">SUM(D26:D27)</f>
        <v>-89924.613333333327</v>
      </c>
      <c r="E28" s="30">
        <f t="shared" si="12"/>
        <v>-241898.18666666665</v>
      </c>
      <c r="F28" s="30">
        <f t="shared" si="12"/>
        <v>-114900.64323205667</v>
      </c>
      <c r="G28" s="30">
        <f t="shared" si="12"/>
        <v>-119610.11094425948</v>
      </c>
      <c r="H28" s="30">
        <f t="shared" si="12"/>
        <v>-124512.87485762354</v>
      </c>
      <c r="I28" s="30">
        <f t="shared" si="12"/>
        <v>-129616.8738259137</v>
      </c>
      <c r="J28" s="30">
        <f t="shared" si="12"/>
        <v>-134930.37285867907</v>
      </c>
      <c r="K28" s="30">
        <f t="shared" si="12"/>
        <v>-140461.97652279036</v>
      </c>
      <c r="L28" s="30">
        <f t="shared" si="12"/>
        <v>-146220.64289467601</v>
      </c>
      <c r="M28" s="30">
        <f t="shared" si="12"/>
        <v>-152215.69808588611</v>
      </c>
      <c r="N28" s="30">
        <f t="shared" si="12"/>
        <v>-158456.85136554402</v>
      </c>
      <c r="O28" s="30">
        <f t="shared" si="12"/>
        <v>-164954.21090421404</v>
      </c>
      <c r="P28" s="30">
        <f t="shared" si="12"/>
        <v>-171718.30016472249</v>
      </c>
      <c r="Q28" s="30">
        <f t="shared" si="12"/>
        <v>-178760.07496651448</v>
      </c>
      <c r="R28" s="30">
        <f t="shared" si="12"/>
        <v>-186090.94125122938</v>
      </c>
      <c r="S28" s="30">
        <f t="shared" si="12"/>
        <v>-193722.77357830538</v>
      </c>
      <c r="T28" s="30">
        <f t="shared" si="12"/>
        <v>-201667.93438061641</v>
      </c>
      <c r="U28" s="30">
        <f t="shared" si="12"/>
        <v>-209939.29401137237</v>
      </c>
      <c r="V28" s="30">
        <f t="shared" si="12"/>
        <v>-218550.25161479739</v>
      </c>
      <c r="W28" s="30">
        <f t="shared" si="12"/>
        <v>-227514.75685444183</v>
      </c>
      <c r="X28" s="30">
        <f t="shared" si="12"/>
        <v>-236847.33253436687</v>
      </c>
    </row>
    <row r="29" spans="2:24" x14ac:dyDescent="0.35">
      <c r="B29" t="s">
        <v>40</v>
      </c>
      <c r="C29" s="32">
        <f>-Eelarve_kool!E11</f>
        <v>-100800</v>
      </c>
      <c r="D29" s="32">
        <f>-Eelarve_kool!F11</f>
        <v>-2042523</v>
      </c>
      <c r="E29" s="32">
        <f>-Eelarve_kool!G10</f>
        <v>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2:24" x14ac:dyDescent="0.35">
      <c r="B30" s="2" t="s">
        <v>41</v>
      </c>
      <c r="C30" s="32">
        <f>C29</f>
        <v>-100800</v>
      </c>
      <c r="D30" s="32">
        <f t="shared" ref="D30:X30" si="13">D29</f>
        <v>-2042523</v>
      </c>
      <c r="E30" s="32">
        <f t="shared" si="13"/>
        <v>0</v>
      </c>
      <c r="F30" s="32">
        <f t="shared" si="13"/>
        <v>0</v>
      </c>
      <c r="G30" s="32">
        <f t="shared" si="13"/>
        <v>0</v>
      </c>
      <c r="H30" s="32">
        <f t="shared" si="13"/>
        <v>0</v>
      </c>
      <c r="I30" s="32">
        <f t="shared" si="13"/>
        <v>0</v>
      </c>
      <c r="J30" s="32">
        <f t="shared" si="13"/>
        <v>0</v>
      </c>
      <c r="K30" s="32">
        <f t="shared" si="13"/>
        <v>0</v>
      </c>
      <c r="L30" s="32">
        <f t="shared" si="13"/>
        <v>0</v>
      </c>
      <c r="M30" s="32">
        <f t="shared" si="13"/>
        <v>0</v>
      </c>
      <c r="N30" s="32">
        <f t="shared" si="13"/>
        <v>0</v>
      </c>
      <c r="O30" s="32">
        <f t="shared" si="13"/>
        <v>0</v>
      </c>
      <c r="P30" s="32">
        <f t="shared" si="13"/>
        <v>0</v>
      </c>
      <c r="Q30" s="32">
        <f t="shared" si="13"/>
        <v>0</v>
      </c>
      <c r="R30" s="32">
        <f t="shared" si="13"/>
        <v>0</v>
      </c>
      <c r="S30" s="32">
        <f t="shared" si="13"/>
        <v>0</v>
      </c>
      <c r="T30" s="32">
        <f t="shared" si="13"/>
        <v>0</v>
      </c>
      <c r="U30" s="32">
        <f t="shared" si="13"/>
        <v>0</v>
      </c>
      <c r="V30" s="32">
        <f t="shared" si="13"/>
        <v>0</v>
      </c>
      <c r="W30" s="32">
        <f t="shared" si="13"/>
        <v>0</v>
      </c>
      <c r="X30" s="32">
        <f t="shared" si="13"/>
        <v>0</v>
      </c>
    </row>
    <row r="31" spans="2:24" x14ac:dyDescent="0.35">
      <c r="B31" t="s">
        <v>42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2:24" x14ac:dyDescent="0.35">
      <c r="B32" t="s">
        <v>43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2:24" x14ac:dyDescent="0.35">
      <c r="B33" t="s">
        <v>109</v>
      </c>
      <c r="C33" s="32">
        <f>Eelarve_kool!E14</f>
        <v>75600</v>
      </c>
      <c r="D33" s="32">
        <f>Eelarve_kool!F14</f>
        <v>1531892.25</v>
      </c>
      <c r="E33" s="32">
        <f>Eelarve_kool!G14</f>
        <v>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2:24" x14ac:dyDescent="0.35">
      <c r="B34" s="2" t="s">
        <v>44</v>
      </c>
      <c r="C34" s="30">
        <f>SUM(C31:C33)</f>
        <v>75600</v>
      </c>
      <c r="D34" s="30">
        <f t="shared" ref="D34:X34" si="14">SUM(D31:D33)</f>
        <v>1531892.25</v>
      </c>
      <c r="E34" s="30">
        <f t="shared" si="14"/>
        <v>0</v>
      </c>
      <c r="F34" s="30">
        <f t="shared" si="14"/>
        <v>0</v>
      </c>
      <c r="G34" s="30">
        <f t="shared" si="14"/>
        <v>0</v>
      </c>
      <c r="H34" s="30">
        <f t="shared" si="14"/>
        <v>0</v>
      </c>
      <c r="I34" s="30">
        <f t="shared" si="14"/>
        <v>0</v>
      </c>
      <c r="J34" s="30">
        <f t="shared" si="14"/>
        <v>0</v>
      </c>
      <c r="K34" s="30">
        <f t="shared" si="14"/>
        <v>0</v>
      </c>
      <c r="L34" s="30">
        <f t="shared" si="14"/>
        <v>0</v>
      </c>
      <c r="M34" s="30">
        <f t="shared" si="14"/>
        <v>0</v>
      </c>
      <c r="N34" s="30">
        <f t="shared" si="14"/>
        <v>0</v>
      </c>
      <c r="O34" s="30">
        <f t="shared" si="14"/>
        <v>0</v>
      </c>
      <c r="P34" s="30">
        <f t="shared" si="14"/>
        <v>0</v>
      </c>
      <c r="Q34" s="30">
        <f t="shared" si="14"/>
        <v>0</v>
      </c>
      <c r="R34" s="30">
        <f t="shared" si="14"/>
        <v>0</v>
      </c>
      <c r="S34" s="30">
        <f t="shared" si="14"/>
        <v>0</v>
      </c>
      <c r="T34" s="30">
        <f t="shared" si="14"/>
        <v>0</v>
      </c>
      <c r="U34" s="30">
        <f t="shared" si="14"/>
        <v>0</v>
      </c>
      <c r="V34" s="30">
        <f t="shared" si="14"/>
        <v>0</v>
      </c>
      <c r="W34" s="30">
        <f t="shared" si="14"/>
        <v>0</v>
      </c>
      <c r="X34" s="30">
        <f t="shared" si="14"/>
        <v>0</v>
      </c>
    </row>
    <row r="35" spans="2:24" x14ac:dyDescent="0.35">
      <c r="B35" s="27" t="s">
        <v>45</v>
      </c>
      <c r="C35" s="34">
        <f>C28+C30+C34</f>
        <v>-25200</v>
      </c>
      <c r="D35" s="34">
        <f t="shared" ref="D35:X35" si="15">D28+D30+D34</f>
        <v>-600555.36333333328</v>
      </c>
      <c r="E35" s="34">
        <f t="shared" si="15"/>
        <v>-241898.18666666665</v>
      </c>
      <c r="F35" s="34">
        <f t="shared" si="15"/>
        <v>-114900.64323205667</v>
      </c>
      <c r="G35" s="34">
        <f t="shared" si="15"/>
        <v>-119610.11094425948</v>
      </c>
      <c r="H35" s="34">
        <f t="shared" si="15"/>
        <v>-124512.87485762354</v>
      </c>
      <c r="I35" s="34">
        <f t="shared" si="15"/>
        <v>-129616.8738259137</v>
      </c>
      <c r="J35" s="34">
        <f t="shared" si="15"/>
        <v>-134930.37285867907</v>
      </c>
      <c r="K35" s="34">
        <f t="shared" si="15"/>
        <v>-140461.97652279036</v>
      </c>
      <c r="L35" s="34">
        <f t="shared" si="15"/>
        <v>-146220.64289467601</v>
      </c>
      <c r="M35" s="34">
        <f t="shared" si="15"/>
        <v>-152215.69808588611</v>
      </c>
      <c r="N35" s="34">
        <f t="shared" si="15"/>
        <v>-158456.85136554402</v>
      </c>
      <c r="O35" s="34">
        <f t="shared" si="15"/>
        <v>-164954.21090421404</v>
      </c>
      <c r="P35" s="34">
        <f t="shared" si="15"/>
        <v>-171718.30016472249</v>
      </c>
      <c r="Q35" s="34">
        <f t="shared" si="15"/>
        <v>-178760.07496651448</v>
      </c>
      <c r="R35" s="34">
        <f t="shared" si="15"/>
        <v>-186090.94125122938</v>
      </c>
      <c r="S35" s="34">
        <f t="shared" si="15"/>
        <v>-193722.77357830538</v>
      </c>
      <c r="T35" s="34">
        <f t="shared" si="15"/>
        <v>-201667.93438061641</v>
      </c>
      <c r="U35" s="34">
        <f t="shared" si="15"/>
        <v>-209939.29401137237</v>
      </c>
      <c r="V35" s="34">
        <f t="shared" si="15"/>
        <v>-218550.25161479739</v>
      </c>
      <c r="W35" s="34">
        <f t="shared" si="15"/>
        <v>-227514.75685444183</v>
      </c>
      <c r="X35" s="34">
        <f t="shared" si="15"/>
        <v>-236847.33253436687</v>
      </c>
    </row>
    <row r="36" spans="2:24" x14ac:dyDescent="0.35">
      <c r="B36" t="s">
        <v>107</v>
      </c>
      <c r="C36" s="19">
        <v>1</v>
      </c>
      <c r="D36" s="18">
        <f>C36/(1+$C$38)</f>
        <v>0.9433700127029061</v>
      </c>
      <c r="E36" s="18">
        <f t="shared" ref="E36:X36" si="16">D36/(1+$C$38)</f>
        <v>0.88994698086708124</v>
      </c>
      <c r="F36" s="18">
        <f t="shared" si="16"/>
        <v>0.83954929464549133</v>
      </c>
      <c r="G36" s="18">
        <f t="shared" si="16"/>
        <v>0.79200562875443303</v>
      </c>
      <c r="H36" s="18">
        <f t="shared" si="16"/>
        <v>0.74715436005884261</v>
      </c>
      <c r="I36" s="18">
        <f t="shared" si="16"/>
        <v>0.70484301813974204</v>
      </c>
      <c r="J36" s="18">
        <f t="shared" si="16"/>
        <v>0.66492776697604306</v>
      </c>
      <c r="K36" s="18">
        <f t="shared" si="16"/>
        <v>0.62727291597870471</v>
      </c>
      <c r="L36" s="18">
        <f t="shared" si="16"/>
        <v>0.59175045871501963</v>
      </c>
      <c r="M36" s="18">
        <f t="shared" si="16"/>
        <v>0.55823963775493857</v>
      </c>
      <c r="N36" s="18">
        <f t="shared" si="16"/>
        <v>0.52662653416014205</v>
      </c>
      <c r="O36" s="18">
        <f t="shared" si="16"/>
        <v>0.4968036802203406</v>
      </c>
      <c r="P36" s="18">
        <f t="shared" si="16"/>
        <v>0.46866969412031317</v>
      </c>
      <c r="Q36" s="18">
        <f t="shared" si="16"/>
        <v>0.44212893529574693</v>
      </c>
      <c r="R36" s="18">
        <f t="shared" si="16"/>
        <v>0.4170911793062711</v>
      </c>
      <c r="S36" s="18">
        <f t="shared" si="16"/>
        <v>0.39347131112042705</v>
      </c>
      <c r="T36" s="18">
        <f t="shared" si="16"/>
        <v>0.37118903576990636</v>
      </c>
      <c r="U36" s="18">
        <f t="shared" si="16"/>
        <v>0.35016860538943601</v>
      </c>
      <c r="V36" s="18">
        <f t="shared" si="16"/>
        <v>0.33033856171439113</v>
      </c>
      <c r="W36" s="18">
        <f t="shared" si="16"/>
        <v>0.31163149316076488</v>
      </c>
      <c r="X36" s="18">
        <f t="shared" si="16"/>
        <v>0.29398380566169635</v>
      </c>
    </row>
    <row r="37" spans="2:24" x14ac:dyDescent="0.35">
      <c r="B37" s="2" t="s">
        <v>111</v>
      </c>
      <c r="C37" s="30">
        <f>C35*C36</f>
        <v>-25200</v>
      </c>
      <c r="D37" s="30">
        <f t="shared" ref="D37:X37" si="17">D35*D36</f>
        <v>-566545.92073656502</v>
      </c>
      <c r="E37" s="30">
        <f t="shared" si="17"/>
        <v>-215276.56090122162</v>
      </c>
      <c r="F37" s="30">
        <f t="shared" si="17"/>
        <v>-96464.753979786416</v>
      </c>
      <c r="G37" s="30">
        <f t="shared" si="17"/>
        <v>-94731.881123795712</v>
      </c>
      <c r="H37" s="30">
        <f t="shared" si="17"/>
        <v>-93030.337333334464</v>
      </c>
      <c r="I37" s="30">
        <f t="shared" si="17"/>
        <v>-91359.548549295141</v>
      </c>
      <c r="J37" s="30">
        <f t="shared" si="17"/>
        <v>-89718.951522166361</v>
      </c>
      <c r="K37" s="30">
        <f t="shared" si="17"/>
        <v>-88107.993597583074</v>
      </c>
      <c r="L37" s="30">
        <f t="shared" si="17"/>
        <v>-86526.132506529611</v>
      </c>
      <c r="M37" s="30">
        <f t="shared" si="17"/>
        <v>-84972.836160080158</v>
      </c>
      <c r="N37" s="30">
        <f t="shared" si="17"/>
        <v>-83447.582448565212</v>
      </c>
      <c r="O37" s="30">
        <f t="shared" si="17"/>
        <v>-81949.859045055768</v>
      </c>
      <c r="P37" s="30">
        <f t="shared" si="17"/>
        <v>-80479.163213060616</v>
      </c>
      <c r="Q37" s="30">
        <f t="shared" si="17"/>
        <v>-79035.001618332957</v>
      </c>
      <c r="R37" s="30">
        <f t="shared" si="17"/>
        <v>-77616.890144689271</v>
      </c>
      <c r="S37" s="30">
        <f t="shared" si="17"/>
        <v>-76224.353713741439</v>
      </c>
      <c r="T37" s="30">
        <f t="shared" si="17"/>
        <v>-74856.926108449756</v>
      </c>
      <c r="U37" s="30">
        <f t="shared" si="17"/>
        <v>-73514.149800405037</v>
      </c>
      <c r="V37" s="30">
        <f t="shared" si="17"/>
        <v>-72195.575780750456</v>
      </c>
      <c r="W37" s="30">
        <f t="shared" si="17"/>
        <v>-70900.763394658075</v>
      </c>
      <c r="X37" s="30">
        <f t="shared" si="17"/>
        <v>-69629.280179274487</v>
      </c>
    </row>
    <row r="38" spans="2:24" x14ac:dyDescent="0.35">
      <c r="B38" t="s">
        <v>46</v>
      </c>
      <c r="C38" s="125">
        <f>Eeldused!D8</f>
        <v>6.0029454545454497E-2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2:24" x14ac:dyDescent="0.35">
      <c r="B39" s="10" t="s">
        <v>48</v>
      </c>
      <c r="C39" s="26" t="e">
        <f>IRR(C35:X35)</f>
        <v>#NUM!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2:24" x14ac:dyDescent="0.35">
      <c r="B40" s="10" t="s">
        <v>47</v>
      </c>
      <c r="C40" s="26">
        <f>SUM(C37:X37)</f>
        <v>-2371784.4618573403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3" spans="2:24" x14ac:dyDescent="0.35">
      <c r="D43" s="32"/>
      <c r="E43" s="3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B056-F8D9-48E3-8CE0-3F8C9D048346}">
  <dimension ref="A2:Y106"/>
  <sheetViews>
    <sheetView workbookViewId="0">
      <selection activeCell="L5" sqref="L5"/>
    </sheetView>
  </sheetViews>
  <sheetFormatPr defaultRowHeight="14.5" x14ac:dyDescent="0.35"/>
  <cols>
    <col min="1" max="1" width="11.7265625" customWidth="1"/>
    <col min="2" max="2" width="38.90625" customWidth="1"/>
    <col min="3" max="3" width="9.453125" customWidth="1"/>
    <col min="4" max="4" width="9.7265625" customWidth="1"/>
    <col min="5" max="5" width="9.26953125" customWidth="1"/>
    <col min="6" max="6" width="9.1796875" customWidth="1"/>
    <col min="8" max="8" width="9.6328125" customWidth="1"/>
    <col min="9" max="9" width="9.90625" customWidth="1"/>
  </cols>
  <sheetData>
    <row r="2" spans="2:24" x14ac:dyDescent="0.35">
      <c r="B2" s="23" t="s">
        <v>10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4" spans="2:24" x14ac:dyDescent="0.35">
      <c r="B4" s="97" t="s">
        <v>193</v>
      </c>
      <c r="C4" s="97" t="s">
        <v>23</v>
      </c>
      <c r="D4" s="99">
        <v>2023</v>
      </c>
      <c r="E4" s="97">
        <f>D4+1</f>
        <v>2024</v>
      </c>
      <c r="F4" s="97">
        <f t="shared" ref="F4" si="0">E4+1</f>
        <v>2025</v>
      </c>
      <c r="G4" s="2"/>
      <c r="H4" s="162" t="s">
        <v>197</v>
      </c>
      <c r="I4" s="162"/>
      <c r="J4" s="97" t="s">
        <v>23</v>
      </c>
      <c r="K4" s="99">
        <v>2023</v>
      </c>
      <c r="L4" s="97">
        <f>K4+1</f>
        <v>2024</v>
      </c>
      <c r="M4" s="97">
        <f t="shared" ref="M4" si="1">L4+1</f>
        <v>2025</v>
      </c>
    </row>
    <row r="5" spans="2:24" x14ac:dyDescent="0.35">
      <c r="B5" t="s">
        <v>117</v>
      </c>
      <c r="C5" s="32">
        <f>SUM(D5:F5)</f>
        <v>7350</v>
      </c>
      <c r="D5" s="32"/>
      <c r="E5" s="32">
        <f>E6*5%</f>
        <v>7350</v>
      </c>
      <c r="F5" s="32"/>
      <c r="G5" s="1"/>
      <c r="H5" s="163" t="s">
        <v>117</v>
      </c>
      <c r="I5" s="163"/>
      <c r="J5" s="32">
        <f>SUM(K5:M5)</f>
        <v>6500</v>
      </c>
      <c r="K5" s="32"/>
      <c r="L5" s="32">
        <f>L6*5%</f>
        <v>6500</v>
      </c>
      <c r="M5" s="32"/>
    </row>
    <row r="6" spans="2:24" x14ac:dyDescent="0.35">
      <c r="B6" t="s">
        <v>149</v>
      </c>
      <c r="C6" s="32">
        <f t="shared" ref="C6:C8" si="2">SUM(D6:F6)</f>
        <v>147000</v>
      </c>
      <c r="D6" s="32"/>
      <c r="E6" s="32">
        <f>Eeldused!D33*Eeldused!D34</f>
        <v>147000</v>
      </c>
      <c r="F6" s="32"/>
      <c r="H6" s="163" t="s">
        <v>149</v>
      </c>
      <c r="I6" s="163"/>
      <c r="J6" s="32">
        <f t="shared" ref="J6:J8" si="3">SUM(K6:M6)</f>
        <v>130000</v>
      </c>
      <c r="K6" s="32"/>
      <c r="L6" s="32">
        <v>130000</v>
      </c>
      <c r="M6" s="32"/>
    </row>
    <row r="7" spans="2:24" x14ac:dyDescent="0.35">
      <c r="B7" t="s">
        <v>118</v>
      </c>
      <c r="C7" s="32">
        <f t="shared" si="2"/>
        <v>7350</v>
      </c>
      <c r="D7" s="32"/>
      <c r="E7" s="32">
        <f>E6*5%</f>
        <v>7350</v>
      </c>
      <c r="F7" s="32"/>
      <c r="G7" s="1"/>
      <c r="H7" s="163" t="s">
        <v>118</v>
      </c>
      <c r="I7" s="163"/>
      <c r="J7" s="32">
        <f t="shared" si="3"/>
        <v>6500</v>
      </c>
      <c r="K7" s="32"/>
      <c r="L7" s="32">
        <f>L6*5%</f>
        <v>6500</v>
      </c>
      <c r="M7" s="32"/>
    </row>
    <row r="8" spans="2:24" x14ac:dyDescent="0.35">
      <c r="B8" s="4" t="s">
        <v>22</v>
      </c>
      <c r="C8" s="33">
        <f t="shared" si="2"/>
        <v>60000</v>
      </c>
      <c r="D8" s="33"/>
      <c r="E8" s="33">
        <f>4000*15</f>
        <v>60000</v>
      </c>
      <c r="F8" s="33"/>
      <c r="H8" s="164" t="s">
        <v>22</v>
      </c>
      <c r="I8" s="164"/>
      <c r="J8" s="33">
        <f t="shared" si="3"/>
        <v>40000</v>
      </c>
      <c r="K8" s="33"/>
      <c r="L8" s="33">
        <v>40000</v>
      </c>
      <c r="M8" s="33"/>
    </row>
    <row r="9" spans="2:24" x14ac:dyDescent="0.35">
      <c r="B9" s="10" t="s">
        <v>23</v>
      </c>
      <c r="C9" s="26">
        <f>SUM(C5:C8)</f>
        <v>221700</v>
      </c>
      <c r="D9" s="26">
        <f t="shared" ref="D9:F9" si="4">SUM(D5:D8)</f>
        <v>0</v>
      </c>
      <c r="E9" s="26">
        <f t="shared" si="4"/>
        <v>221700</v>
      </c>
      <c r="F9" s="26">
        <f t="shared" si="4"/>
        <v>0</v>
      </c>
      <c r="G9" s="19"/>
      <c r="H9" s="161" t="s">
        <v>23</v>
      </c>
      <c r="I9" s="161"/>
      <c r="J9" s="26">
        <f>SUM(J5:J8)</f>
        <v>183000</v>
      </c>
      <c r="K9" s="26">
        <f t="shared" ref="K9:M9" si="5">SUM(K5:K8)</f>
        <v>0</v>
      </c>
      <c r="L9" s="26">
        <f t="shared" si="5"/>
        <v>183000</v>
      </c>
      <c r="M9" s="26">
        <f t="shared" si="5"/>
        <v>0</v>
      </c>
    </row>
    <row r="10" spans="2:24" x14ac:dyDescent="0.35">
      <c r="B10" s="97" t="s">
        <v>160</v>
      </c>
      <c r="C10" s="144">
        <f>C9*(1+Eeldused!$D$6)</f>
        <v>266040</v>
      </c>
      <c r="D10" s="144">
        <f>D9*(1+Eeldused!$D$6)</f>
        <v>0</v>
      </c>
      <c r="E10" s="144">
        <f>E9*(1+Eeldused!$D$6)</f>
        <v>266040</v>
      </c>
      <c r="F10" s="144">
        <f>F9*(1+Eeldused!$D$6)</f>
        <v>0</v>
      </c>
      <c r="G10" s="19"/>
      <c r="H10" s="162" t="s">
        <v>160</v>
      </c>
      <c r="I10" s="162"/>
      <c r="J10" s="144">
        <f>J9*(1+Eeldused!$D$6)</f>
        <v>219600</v>
      </c>
      <c r="K10" s="144">
        <f>K9*(1+Eeldused!$D$6)</f>
        <v>0</v>
      </c>
      <c r="L10" s="144">
        <f>L9*(1+Eeldused!$D$6)</f>
        <v>219600</v>
      </c>
      <c r="M10" s="144">
        <f>M9*(1+Eeldused!$D$6)</f>
        <v>0</v>
      </c>
    </row>
    <row r="12" spans="2:24" x14ac:dyDescent="0.35">
      <c r="B12" s="97" t="s">
        <v>24</v>
      </c>
      <c r="C12" s="97" t="s">
        <v>23</v>
      </c>
      <c r="D12" s="97">
        <f>D4</f>
        <v>2023</v>
      </c>
      <c r="E12" s="97">
        <f t="shared" ref="E12:F12" si="6">E4</f>
        <v>2024</v>
      </c>
      <c r="F12" s="97">
        <f t="shared" si="6"/>
        <v>2025</v>
      </c>
      <c r="G12" s="2"/>
      <c r="H12" s="162" t="s">
        <v>24</v>
      </c>
      <c r="I12" s="162"/>
      <c r="J12" s="97" t="s">
        <v>23</v>
      </c>
      <c r="K12" s="97">
        <f>K4</f>
        <v>2023</v>
      </c>
      <c r="L12" s="97">
        <f t="shared" ref="L12:M12" si="7">L4</f>
        <v>2024</v>
      </c>
      <c r="M12" s="97">
        <f t="shared" si="7"/>
        <v>2025</v>
      </c>
    </row>
    <row r="13" spans="2:24" x14ac:dyDescent="0.35">
      <c r="B13" t="s">
        <v>119</v>
      </c>
      <c r="C13" s="32">
        <f>SUM(D13:F13)</f>
        <v>199530</v>
      </c>
      <c r="D13" s="32">
        <f>D10*0.75</f>
        <v>0</v>
      </c>
      <c r="E13" s="32">
        <f t="shared" ref="E13:F13" si="8">E10*0.75</f>
        <v>199530</v>
      </c>
      <c r="F13" s="32">
        <f t="shared" si="8"/>
        <v>0</v>
      </c>
      <c r="H13" s="163" t="s">
        <v>119</v>
      </c>
      <c r="I13" s="163"/>
      <c r="J13" s="32">
        <f>SUM(K13:M13)</f>
        <v>164700</v>
      </c>
      <c r="K13" s="32">
        <f>K10*0.75</f>
        <v>0</v>
      </c>
      <c r="L13" s="32">
        <f t="shared" ref="L13:M13" si="9">L10*0.75</f>
        <v>164700</v>
      </c>
      <c r="M13" s="32">
        <f t="shared" si="9"/>
        <v>0</v>
      </c>
    </row>
    <row r="14" spans="2:24" x14ac:dyDescent="0.35">
      <c r="B14" t="s">
        <v>25</v>
      </c>
      <c r="C14" s="32">
        <f t="shared" ref="C14:C15" si="10">SUM(D14:F14)</f>
        <v>66510</v>
      </c>
      <c r="D14" s="32">
        <f>D10-D13</f>
        <v>0</v>
      </c>
      <c r="E14" s="32">
        <f t="shared" ref="E14:F14" si="11">E10-E13</f>
        <v>66510</v>
      </c>
      <c r="F14" s="32">
        <f t="shared" si="11"/>
        <v>0</v>
      </c>
      <c r="H14" s="163" t="s">
        <v>25</v>
      </c>
      <c r="I14" s="163"/>
      <c r="J14" s="32">
        <f t="shared" ref="J14:J15" si="12">SUM(K14:M14)</f>
        <v>54900</v>
      </c>
      <c r="K14" s="32">
        <f>K10-K13</f>
        <v>0</v>
      </c>
      <c r="L14" s="32">
        <f t="shared" ref="L14:M14" si="13">L10-L13</f>
        <v>54900</v>
      </c>
      <c r="M14" s="32">
        <f t="shared" si="13"/>
        <v>0</v>
      </c>
    </row>
    <row r="15" spans="2:24" x14ac:dyDescent="0.35">
      <c r="B15" s="4" t="s">
        <v>26</v>
      </c>
      <c r="C15" s="33">
        <f t="shared" si="10"/>
        <v>0</v>
      </c>
      <c r="D15" s="33"/>
      <c r="E15" s="33"/>
      <c r="F15" s="33"/>
      <c r="H15" s="164" t="s">
        <v>26</v>
      </c>
      <c r="I15" s="164"/>
      <c r="J15" s="33">
        <f t="shared" si="12"/>
        <v>0</v>
      </c>
      <c r="K15" s="33"/>
      <c r="L15" s="33"/>
      <c r="M15" s="33"/>
    </row>
    <row r="16" spans="2:24" x14ac:dyDescent="0.35">
      <c r="B16" s="10" t="s">
        <v>23</v>
      </c>
      <c r="C16" s="26">
        <f>SUM(C13:C15)</f>
        <v>266040</v>
      </c>
      <c r="D16" s="26">
        <f t="shared" ref="D16:F16" si="14">SUM(D13:D15)</f>
        <v>0</v>
      </c>
      <c r="E16" s="26">
        <f t="shared" si="14"/>
        <v>266040</v>
      </c>
      <c r="F16" s="26">
        <f t="shared" si="14"/>
        <v>0</v>
      </c>
      <c r="G16" s="2"/>
      <c r="H16" s="161" t="s">
        <v>23</v>
      </c>
      <c r="I16" s="161"/>
      <c r="J16" s="26">
        <f>SUM(J13:J15)</f>
        <v>219600</v>
      </c>
      <c r="K16" s="26">
        <f t="shared" ref="K16:M16" si="15">SUM(K13:K15)</f>
        <v>0</v>
      </c>
      <c r="L16" s="26">
        <f t="shared" si="15"/>
        <v>219600</v>
      </c>
      <c r="M16" s="26">
        <f t="shared" si="15"/>
        <v>0</v>
      </c>
    </row>
    <row r="19" spans="1:25" x14ac:dyDescent="0.35">
      <c r="A19" t="s">
        <v>150</v>
      </c>
      <c r="B19" s="97" t="s">
        <v>151</v>
      </c>
      <c r="C19" s="97">
        <f>D4</f>
        <v>2023</v>
      </c>
      <c r="D19" s="97">
        <f>C19+1</f>
        <v>2024</v>
      </c>
      <c r="E19" s="97">
        <f t="shared" ref="E19:X19" si="16">D19+1</f>
        <v>2025</v>
      </c>
      <c r="F19" s="97">
        <f t="shared" si="16"/>
        <v>2026</v>
      </c>
      <c r="G19" s="97">
        <f t="shared" si="16"/>
        <v>2027</v>
      </c>
      <c r="H19" s="97">
        <f t="shared" si="16"/>
        <v>2028</v>
      </c>
      <c r="I19" s="97">
        <f t="shared" si="16"/>
        <v>2029</v>
      </c>
      <c r="J19" s="97">
        <f t="shared" si="16"/>
        <v>2030</v>
      </c>
      <c r="K19" s="97">
        <f t="shared" si="16"/>
        <v>2031</v>
      </c>
      <c r="L19" s="97">
        <f t="shared" si="16"/>
        <v>2032</v>
      </c>
      <c r="M19" s="97">
        <f t="shared" si="16"/>
        <v>2033</v>
      </c>
      <c r="N19" s="97">
        <f t="shared" si="16"/>
        <v>2034</v>
      </c>
      <c r="O19" s="97">
        <f t="shared" si="16"/>
        <v>2035</v>
      </c>
      <c r="P19" s="97">
        <f t="shared" si="16"/>
        <v>2036</v>
      </c>
      <c r="Q19" s="97">
        <f t="shared" si="16"/>
        <v>2037</v>
      </c>
      <c r="R19" s="97">
        <f t="shared" si="16"/>
        <v>2038</v>
      </c>
      <c r="S19" s="97">
        <f t="shared" si="16"/>
        <v>2039</v>
      </c>
      <c r="T19" s="97">
        <f t="shared" si="16"/>
        <v>2040</v>
      </c>
      <c r="U19" s="97">
        <f t="shared" si="16"/>
        <v>2041</v>
      </c>
      <c r="V19" s="97">
        <f t="shared" si="16"/>
        <v>2042</v>
      </c>
      <c r="W19" s="97">
        <f t="shared" si="16"/>
        <v>2043</v>
      </c>
      <c r="X19" s="97">
        <f t="shared" si="16"/>
        <v>2044</v>
      </c>
    </row>
    <row r="20" spans="1:25" x14ac:dyDescent="0.35">
      <c r="B20" s="2" t="s">
        <v>29</v>
      </c>
      <c r="C20" s="2"/>
      <c r="D20" s="2"/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</row>
    <row r="21" spans="1:25" x14ac:dyDescent="0.35">
      <c r="B21" s="11" t="s">
        <v>71</v>
      </c>
      <c r="E21" s="32">
        <f>Eeldused!D34*0.5</f>
        <v>175</v>
      </c>
      <c r="F21" s="32">
        <f>Eeldused!D34</f>
        <v>350</v>
      </c>
      <c r="G21" s="32">
        <f t="shared" ref="G21:X21" si="17">F21</f>
        <v>350</v>
      </c>
      <c r="H21" s="32">
        <f t="shared" si="17"/>
        <v>350</v>
      </c>
      <c r="I21" s="32">
        <f t="shared" si="17"/>
        <v>350</v>
      </c>
      <c r="J21" s="32">
        <f t="shared" si="17"/>
        <v>350</v>
      </c>
      <c r="K21" s="32">
        <f t="shared" si="17"/>
        <v>350</v>
      </c>
      <c r="L21" s="32">
        <f t="shared" si="17"/>
        <v>350</v>
      </c>
      <c r="M21" s="32">
        <f t="shared" si="17"/>
        <v>350</v>
      </c>
      <c r="N21" s="32">
        <f t="shared" si="17"/>
        <v>350</v>
      </c>
      <c r="O21" s="32">
        <f t="shared" si="17"/>
        <v>350</v>
      </c>
      <c r="P21" s="32">
        <f t="shared" si="17"/>
        <v>350</v>
      </c>
      <c r="Q21" s="32">
        <f t="shared" si="17"/>
        <v>350</v>
      </c>
      <c r="R21" s="32">
        <f t="shared" si="17"/>
        <v>350</v>
      </c>
      <c r="S21" s="32">
        <f t="shared" si="17"/>
        <v>350</v>
      </c>
      <c r="T21" s="32">
        <f t="shared" si="17"/>
        <v>350</v>
      </c>
      <c r="U21" s="32">
        <f t="shared" si="17"/>
        <v>350</v>
      </c>
      <c r="V21" s="32">
        <f t="shared" si="17"/>
        <v>350</v>
      </c>
      <c r="W21" s="32">
        <f t="shared" si="17"/>
        <v>350</v>
      </c>
      <c r="X21" s="32">
        <f t="shared" si="17"/>
        <v>350</v>
      </c>
    </row>
    <row r="22" spans="1:25" x14ac:dyDescent="0.35">
      <c r="B22" s="11" t="s">
        <v>72</v>
      </c>
      <c r="C22" s="18"/>
      <c r="D22" s="18"/>
      <c r="E22" s="115">
        <f>Eeldused!D39</f>
        <v>7.1999999999999993</v>
      </c>
      <c r="F22" s="32">
        <f>E22*(1+Eeldused!$D$4)</f>
        <v>7.3386654545454535</v>
      </c>
      <c r="G22" s="32">
        <f>F22*(1+Eeldused!$D$4)</f>
        <v>7.4800014796859484</v>
      </c>
      <c r="H22" s="32">
        <f>G22*(1+Eeldused!$D$4)</f>
        <v>7.624059508183354</v>
      </c>
      <c r="I22" s="32">
        <f>H22*(1+Eeldused!$D$4)</f>
        <v>7.7708919633477755</v>
      </c>
      <c r="J22" s="32">
        <f>I22*(1+Eeldused!$D$4)</f>
        <v>7.9205522781146138</v>
      </c>
      <c r="K22" s="32">
        <f>J22*(1+Eeldused!$D$4)</f>
        <v>8.0730949144890296</v>
      </c>
      <c r="L22" s="32">
        <f>K22*(1+Eeldused!$D$4)</f>
        <v>8.2285753833648929</v>
      </c>
      <c r="M22" s="32">
        <f>L22*(1+Eeldused!$D$4)</f>
        <v>8.3870502647254241</v>
      </c>
      <c r="N22" s="32">
        <f>M22*(1+Eeldused!$D$4)</f>
        <v>8.5485772282328849</v>
      </c>
      <c r="O22" s="32">
        <f>N22*(1+Eeldused!$D$4)</f>
        <v>8.713215054214805</v>
      </c>
      <c r="P22" s="32">
        <f>O22*(1+Eeldused!$D$4)</f>
        <v>8.8810236550543866</v>
      </c>
      <c r="Q22" s="32">
        <f>P22*(1+Eeldused!$D$4)</f>
        <v>9.052064096992865</v>
      </c>
      <c r="R22" s="32">
        <f>Q22*(1+Eeldused!$D$4)</f>
        <v>9.226398622351768</v>
      </c>
      <c r="S22" s="32">
        <f>R22*(1+Eeldused!$D$4)</f>
        <v>9.4040906721831519</v>
      </c>
      <c r="T22" s="32">
        <f>S22*(1+Eeldused!$D$4)</f>
        <v>9.5852049093560598</v>
      </c>
      <c r="U22" s="32">
        <f>T22*(1+Eeldused!$D$4)</f>
        <v>9.7698072420876123</v>
      </c>
      <c r="V22" s="32">
        <f>U22*(1+Eeldused!$D$4)</f>
        <v>9.957964847927272</v>
      </c>
      <c r="W22" s="32">
        <f>V22*(1+Eeldused!$D$4)</f>
        <v>10.149746198203035</v>
      </c>
      <c r="X22" s="32">
        <f>W22*(1+Eeldused!$D$4)</f>
        <v>10.345221082938426</v>
      </c>
    </row>
    <row r="23" spans="1:25" x14ac:dyDescent="0.35">
      <c r="B23" t="s">
        <v>78</v>
      </c>
      <c r="D23" s="19"/>
      <c r="E23" s="32">
        <f>-E21*E22*4</f>
        <v>-5039.9999999999991</v>
      </c>
      <c r="F23" s="32">
        <f>-F21*F22*12</f>
        <v>-30822.394909090901</v>
      </c>
      <c r="G23" s="32">
        <f t="shared" ref="G23:X23" si="18">-G21*G22*12</f>
        <v>-31416.006214680983</v>
      </c>
      <c r="H23" s="32">
        <f t="shared" si="18"/>
        <v>-32021.049934370087</v>
      </c>
      <c r="I23" s="32">
        <f t="shared" si="18"/>
        <v>-32637.746246060655</v>
      </c>
      <c r="J23" s="32">
        <f t="shared" si="18"/>
        <v>-33266.319568081381</v>
      </c>
      <c r="K23" s="32">
        <f t="shared" si="18"/>
        <v>-33906.998640853926</v>
      </c>
      <c r="L23" s="32">
        <f t="shared" si="18"/>
        <v>-34560.016610132552</v>
      </c>
      <c r="M23" s="32">
        <f t="shared" si="18"/>
        <v>-35225.611111846782</v>
      </c>
      <c r="N23" s="32">
        <f t="shared" si="18"/>
        <v>-35904.024358578114</v>
      </c>
      <c r="O23" s="32">
        <f t="shared" si="18"/>
        <v>-36595.503227702182</v>
      </c>
      <c r="P23" s="32">
        <f t="shared" si="18"/>
        <v>-37300.299351228423</v>
      </c>
      <c r="Q23" s="32">
        <f t="shared" si="18"/>
        <v>-38018.669207370032</v>
      </c>
      <c r="R23" s="32">
        <f t="shared" si="18"/>
        <v>-38750.874213877425</v>
      </c>
      <c r="S23" s="32">
        <f t="shared" si="18"/>
        <v>-39497.180823169241</v>
      </c>
      <c r="T23" s="32">
        <f t="shared" si="18"/>
        <v>-40257.860619295454</v>
      </c>
      <c r="U23" s="32">
        <f t="shared" si="18"/>
        <v>-41033.190416767975</v>
      </c>
      <c r="V23" s="32">
        <f t="shared" si="18"/>
        <v>-41823.452361294541</v>
      </c>
      <c r="W23" s="32">
        <f t="shared" si="18"/>
        <v>-42628.934032452744</v>
      </c>
      <c r="X23" s="32">
        <f t="shared" si="18"/>
        <v>-43449.928548341391</v>
      </c>
    </row>
    <row r="24" spans="1:25" x14ac:dyDescent="0.35">
      <c r="B24" t="s">
        <v>83</v>
      </c>
      <c r="D24" s="19"/>
      <c r="E24" s="32">
        <f>-SUM(Eeldused!E41:E47)*E21*4</f>
        <v>-2453.268</v>
      </c>
      <c r="F24" s="32">
        <f>(-SUM(Eeldused!E41:E47)*F21*12)*(1+Eeldused!$D$4)</f>
        <v>-15003.094268618181</v>
      </c>
      <c r="G24" s="32">
        <f>F24*(1+Eeldused!$D$4)</f>
        <v>-15292.040225055158</v>
      </c>
      <c r="H24" s="32">
        <f>G24*(1+Eeldused!$D$4)</f>
        <v>-15586.551017934969</v>
      </c>
      <c r="I24" s="32">
        <f>H24*(1+Eeldused!$D$4)</f>
        <v>-15886.733820948561</v>
      </c>
      <c r="J24" s="32">
        <f>I24*(1+Eeldused!$D$4)</f>
        <v>-16192.697871854736</v>
      </c>
      <c r="K24" s="32">
        <f>J24*(1+Eeldused!$D$4)</f>
        <v>-16504.554512232229</v>
      </c>
      <c r="L24" s="32">
        <f>K24*(1+Eeldused!$D$4)</f>
        <v>-16822.417227997354</v>
      </c>
      <c r="M24" s="32">
        <f>L24*(1+Eeldused!$D$4)</f>
        <v>-17146.401690702012</v>
      </c>
      <c r="N24" s="32">
        <f>M24*(1+Eeldused!$D$4)</f>
        <v>-17476.625799627032</v>
      </c>
      <c r="O24" s="32">
        <f>N24*(1+Eeldused!$D$4)</f>
        <v>-17813.20972468621</v>
      </c>
      <c r="P24" s="32">
        <f>O24*(1+Eeldused!$D$4)</f>
        <v>-18156.275950156643</v>
      </c>
      <c r="Q24" s="32">
        <f>P24*(1+Eeldused!$D$4)</f>
        <v>-18505.949319251249</v>
      </c>
      <c r="R24" s="32">
        <f>Q24*(1+Eeldused!$D$4)</f>
        <v>-18862.357079549736</v>
      </c>
      <c r="S24" s="32">
        <f>R24*(1+Eeldused!$D$4)</f>
        <v>-19225.628929304519</v>
      </c>
      <c r="T24" s="32">
        <f>S24*(1+Eeldused!$D$4)</f>
        <v>-19595.89706463844</v>
      </c>
      <c r="U24" s="32">
        <f>T24*(1+Eeldused!$D$4)</f>
        <v>-19973.296227651499</v>
      </c>
      <c r="V24" s="32">
        <f>U24*(1+Eeldused!$D$4)</f>
        <v>-20357.963755454039</v>
      </c>
      <c r="W24" s="32">
        <f>V24*(1+Eeldused!$D$4)</f>
        <v>-20750.039630144303</v>
      </c>
      <c r="X24" s="32">
        <f>W24*(1+Eeldused!$D$4)</f>
        <v>-21149.666529748491</v>
      </c>
    </row>
    <row r="25" spans="1:25" x14ac:dyDescent="0.35">
      <c r="B25" t="s">
        <v>116</v>
      </c>
      <c r="D25" s="19"/>
      <c r="E25" s="32">
        <f>-Eeldused!$D$40*E21*4</f>
        <v>-1595.9999999999998</v>
      </c>
      <c r="F25" s="32">
        <f>-Eeldused!$D$40*F21*12*(1+Eeldused!$D$4)</f>
        <v>-9760.4250545454524</v>
      </c>
      <c r="G25" s="32">
        <f>F25*(1+Eeldused!$D$4)</f>
        <v>-9948.4019679823105</v>
      </c>
      <c r="H25" s="32">
        <f>G25*(1+Eeldused!$D$4)</f>
        <v>-10139.999145883859</v>
      </c>
      <c r="I25" s="32">
        <f>H25*(1+Eeldused!$D$4)</f>
        <v>-10335.286311252539</v>
      </c>
      <c r="J25" s="32">
        <f>I25*(1+Eeldused!$D$4)</f>
        <v>-10534.334529892434</v>
      </c>
      <c r="K25" s="32">
        <f>J25*(1+Eeldused!$D$4)</f>
        <v>-10737.216236270408</v>
      </c>
      <c r="L25" s="32">
        <f>K25*(1+Eeldused!$D$4)</f>
        <v>-10944.005259875306</v>
      </c>
      <c r="M25" s="32">
        <f>L25*(1+Eeldused!$D$4)</f>
        <v>-11154.776852084813</v>
      </c>
      <c r="N25" s="32">
        <f>M25*(1+Eeldused!$D$4)</f>
        <v>-11369.607713549736</v>
      </c>
      <c r="O25" s="32">
        <f>N25*(1+Eeldused!$D$4)</f>
        <v>-11588.576022105692</v>
      </c>
      <c r="P25" s="32">
        <f>O25*(1+Eeldused!$D$4)</f>
        <v>-11811.761461222335</v>
      </c>
      <c r="Q25" s="32">
        <f>P25*(1+Eeldused!$D$4)</f>
        <v>-12039.245249000513</v>
      </c>
      <c r="R25" s="32">
        <f>Q25*(1+Eeldused!$D$4)</f>
        <v>-12271.110167727853</v>
      </c>
      <c r="S25" s="32">
        <f>R25*(1+Eeldused!$D$4)</f>
        <v>-12507.440594003592</v>
      </c>
      <c r="T25" s="32">
        <f>S25*(1+Eeldused!$D$4)</f>
        <v>-12748.32252944356</v>
      </c>
      <c r="U25" s="32">
        <f>T25*(1+Eeldused!$D$4)</f>
        <v>-12993.843631976524</v>
      </c>
      <c r="V25" s="32">
        <f>U25*(1+Eeldused!$D$4)</f>
        <v>-13244.093247743271</v>
      </c>
      <c r="W25" s="32">
        <f>V25*(1+Eeldused!$D$4)</f>
        <v>-13499.162443610034</v>
      </c>
      <c r="X25" s="32">
        <f>W25*(1+Eeldused!$D$4)</f>
        <v>-13759.144040308103</v>
      </c>
    </row>
    <row r="26" spans="1:25" x14ac:dyDescent="0.35">
      <c r="B26" s="3" t="s">
        <v>30</v>
      </c>
      <c r="C26" s="3"/>
      <c r="D26" s="29"/>
      <c r="E26" s="31">
        <f>SUM(E23:E25)</f>
        <v>-9089.2679999999982</v>
      </c>
      <c r="F26" s="31">
        <f t="shared" ref="F26:X26" si="19">SUM(F23:F25)</f>
        <v>-55585.914232254538</v>
      </c>
      <c r="G26" s="31">
        <f t="shared" si="19"/>
        <v>-56656.448407718453</v>
      </c>
      <c r="H26" s="31">
        <f t="shared" si="19"/>
        <v>-57747.600098188923</v>
      </c>
      <c r="I26" s="31">
        <f t="shared" si="19"/>
        <v>-58859.766378261753</v>
      </c>
      <c r="J26" s="31">
        <f t="shared" si="19"/>
        <v>-59993.351969828545</v>
      </c>
      <c r="K26" s="31">
        <f t="shared" si="19"/>
        <v>-61148.769389356559</v>
      </c>
      <c r="L26" s="31">
        <f t="shared" si="19"/>
        <v>-62326.439098005212</v>
      </c>
      <c r="M26" s="31">
        <f t="shared" si="19"/>
        <v>-63526.789654633605</v>
      </c>
      <c r="N26" s="31">
        <f t="shared" si="19"/>
        <v>-64750.257871754875</v>
      </c>
      <c r="O26" s="31">
        <f t="shared" si="19"/>
        <v>-65997.288974494091</v>
      </c>
      <c r="P26" s="31">
        <f t="shared" si="19"/>
        <v>-67268.336762607403</v>
      </c>
      <c r="Q26" s="31">
        <f t="shared" si="19"/>
        <v>-68563.863775621794</v>
      </c>
      <c r="R26" s="31">
        <f t="shared" si="19"/>
        <v>-69884.341461155011</v>
      </c>
      <c r="S26" s="31">
        <f t="shared" si="19"/>
        <v>-71230.250346477347</v>
      </c>
      <c r="T26" s="31">
        <f t="shared" si="19"/>
        <v>-72602.080213377456</v>
      </c>
      <c r="U26" s="31">
        <f t="shared" si="19"/>
        <v>-74000.330276396009</v>
      </c>
      <c r="V26" s="31">
        <f t="shared" si="19"/>
        <v>-75425.509364491852</v>
      </c>
      <c r="W26" s="31">
        <f t="shared" si="19"/>
        <v>-76878.136106207079</v>
      </c>
      <c r="X26" s="31">
        <f t="shared" si="19"/>
        <v>-78358.739118397993</v>
      </c>
    </row>
    <row r="27" spans="1:25" x14ac:dyDescent="0.35">
      <c r="B27" s="2" t="s">
        <v>31</v>
      </c>
      <c r="C27" s="2"/>
      <c r="D27" s="24"/>
      <c r="E27" s="30">
        <f>E20+E26</f>
        <v>-9089.2679999999982</v>
      </c>
      <c r="F27" s="30">
        <f t="shared" ref="F27:X27" si="20">F20+F26</f>
        <v>-55585.914232254538</v>
      </c>
      <c r="G27" s="30">
        <f t="shared" si="20"/>
        <v>-56656.448407718453</v>
      </c>
      <c r="H27" s="30">
        <f t="shared" si="20"/>
        <v>-57747.600098188923</v>
      </c>
      <c r="I27" s="30">
        <f t="shared" si="20"/>
        <v>-58859.766378261753</v>
      </c>
      <c r="J27" s="30">
        <f t="shared" si="20"/>
        <v>-59993.351969828545</v>
      </c>
      <c r="K27" s="30">
        <f t="shared" si="20"/>
        <v>-61148.769389356559</v>
      </c>
      <c r="L27" s="30">
        <f t="shared" si="20"/>
        <v>-62326.439098005212</v>
      </c>
      <c r="M27" s="30">
        <f t="shared" si="20"/>
        <v>-63526.789654633605</v>
      </c>
      <c r="N27" s="30">
        <f t="shared" si="20"/>
        <v>-64750.257871754875</v>
      </c>
      <c r="O27" s="30">
        <f t="shared" si="20"/>
        <v>-65997.288974494091</v>
      </c>
      <c r="P27" s="30">
        <f t="shared" si="20"/>
        <v>-67268.336762607403</v>
      </c>
      <c r="Q27" s="30">
        <f t="shared" si="20"/>
        <v>-68563.863775621794</v>
      </c>
      <c r="R27" s="30">
        <f t="shared" si="20"/>
        <v>-69884.341461155011</v>
      </c>
      <c r="S27" s="30">
        <f t="shared" si="20"/>
        <v>-71230.250346477347</v>
      </c>
      <c r="T27" s="30">
        <f t="shared" si="20"/>
        <v>-72602.080213377456</v>
      </c>
      <c r="U27" s="30">
        <f t="shared" si="20"/>
        <v>-74000.330276396009</v>
      </c>
      <c r="V27" s="30">
        <f t="shared" si="20"/>
        <v>-75425.509364491852</v>
      </c>
      <c r="W27" s="30">
        <f t="shared" si="20"/>
        <v>-76878.136106207079</v>
      </c>
      <c r="X27" s="30">
        <f t="shared" si="20"/>
        <v>-78358.739118397993</v>
      </c>
    </row>
    <row r="28" spans="1:25" x14ac:dyDescent="0.35">
      <c r="B28" t="s">
        <v>32</v>
      </c>
      <c r="D28" s="19"/>
      <c r="E28" s="32">
        <f>IF(SUM($C$28:D28)&gt;-SUM($C$5:$C$7),-SUM($C$5:$C$7)/Eeldused!$D$9,0)/12*4</f>
        <v>-2695</v>
      </c>
      <c r="F28" s="32">
        <f>IF(SUM($C$28:E28)&gt;-SUM($C$5:$C$7),-SUM($C$5:$C$7)/Eeldused!$D$9,0)</f>
        <v>-8085</v>
      </c>
      <c r="G28" s="32">
        <f>IF(SUM($C$28:F28)&gt;-SUM($C$5:$C$7),-SUM($C$5:$C$7)/Eeldused!$D$9,0)</f>
        <v>-8085</v>
      </c>
      <c r="H28" s="32">
        <f>IF(SUM($C$28:G28)&gt;-SUM($C$5:$C$7),-SUM($C$5:$C$7)/Eeldused!$D$9,0)</f>
        <v>-8085</v>
      </c>
      <c r="I28" s="32">
        <f>IF(SUM($C$28:H28)&gt;-SUM($C$5:$C$7),-SUM($C$5:$C$7)/Eeldused!$D$9,0)</f>
        <v>-8085</v>
      </c>
      <c r="J28" s="32">
        <f>IF(SUM($C$28:I28)&gt;-SUM($C$5:$C$7),-SUM($C$5:$C$7)/Eeldused!$D$9,0)</f>
        <v>-8085</v>
      </c>
      <c r="K28" s="32">
        <f>IF(SUM($C$28:J28)&gt;-SUM($C$5:$C$7),-SUM($C$5:$C$7)/Eeldused!$D$9,0)</f>
        <v>-8085</v>
      </c>
      <c r="L28" s="32">
        <f>IF(SUM($C$28:K28)&gt;-SUM($C$5:$C$7),-SUM($C$5:$C$7)/Eeldused!$D$9,0)</f>
        <v>-8085</v>
      </c>
      <c r="M28" s="32">
        <f>IF(SUM($C$28:L28)&gt;-SUM($C$5:$C$7),-SUM($C$5:$C$7)/Eeldused!$D$9,0)</f>
        <v>-8085</v>
      </c>
      <c r="N28" s="32">
        <f>IF(SUM($C$28:M28)&gt;-SUM($C$5:$C$7),-SUM($C$5:$C$7)/Eeldused!$D$9,0)</f>
        <v>-8085</v>
      </c>
      <c r="O28" s="32">
        <f>IF(SUM($C$28:N28)&gt;-SUM($C$5:$C$7),-SUM($C$5:$C$7)/Eeldused!$D$9,0)</f>
        <v>-8085</v>
      </c>
      <c r="P28" s="32">
        <f>IF(SUM($C$28:O28)&gt;-SUM($C$5:$C$7),-SUM($C$5:$C$7)/Eeldused!$D$9,0)</f>
        <v>-8085</v>
      </c>
      <c r="Q28" s="32">
        <f>IF(SUM($C$28:P28)&gt;-SUM($C$5:$C$7),-SUM($C$5:$C$7)/Eeldused!$D$9,0)</f>
        <v>-8085</v>
      </c>
      <c r="R28" s="32">
        <f>IF(SUM($C$28:Q28)&gt;-SUM($C$5:$C$7),-SUM($C$5:$C$7)/Eeldused!$D$9,0)</f>
        <v>-8085</v>
      </c>
      <c r="S28" s="32">
        <f>IF(SUM($C$28:R28)&gt;-SUM($C$5:$C$7),-SUM($C$5:$C$7)/Eeldused!$D$9,0)</f>
        <v>-8085</v>
      </c>
      <c r="T28" s="32">
        <f>IF(SUM($C$28:S28)&gt;-SUM($C$5:$C$7),-SUM($C$5:$C$7)/Eeldused!$D$9,0)</f>
        <v>-8085</v>
      </c>
      <c r="U28" s="32">
        <f>IF(SUM($C$28:T28)&gt;-SUM($C$5:$C$7),-SUM($C$5:$C$7)/Eeldused!$D$9,0)</f>
        <v>-8085</v>
      </c>
      <c r="V28" s="32">
        <f>IF(SUM($C$28:U28)&gt;-SUM($C$5:$C$7),-SUM($C$5:$C$7)/Eeldused!$D$9,0)</f>
        <v>-8085</v>
      </c>
      <c r="W28" s="32">
        <f>IF(SUM($C$28:V28)&gt;-SUM($C$5:$C$7),-SUM($C$5:$C$7)/Eeldused!$D$9,0)</f>
        <v>-8085</v>
      </c>
      <c r="X28" s="32">
        <f>IF(SUM($C$28:W28)&gt;-SUM($C$5:$C$7),-SUM($C$5:$C$7)/Eeldused!$D$9,0)</f>
        <v>-8085</v>
      </c>
      <c r="Y28" s="19"/>
    </row>
    <row r="29" spans="1:25" x14ac:dyDescent="0.35">
      <c r="B29" s="2" t="s">
        <v>33</v>
      </c>
      <c r="C29" s="2"/>
      <c r="D29" s="2"/>
      <c r="E29" s="30">
        <f>E27+E28</f>
        <v>-11784.267999999998</v>
      </c>
      <c r="F29" s="30">
        <f t="shared" ref="F29:X29" si="21">F27+F28</f>
        <v>-63670.914232254538</v>
      </c>
      <c r="G29" s="30">
        <f t="shared" si="21"/>
        <v>-64741.448407718453</v>
      </c>
      <c r="H29" s="30">
        <f t="shared" si="21"/>
        <v>-65832.600098188923</v>
      </c>
      <c r="I29" s="30">
        <f t="shared" si="21"/>
        <v>-66944.76637826176</v>
      </c>
      <c r="J29" s="30">
        <f t="shared" si="21"/>
        <v>-68078.351969828538</v>
      </c>
      <c r="K29" s="30">
        <f t="shared" si="21"/>
        <v>-69233.769389356559</v>
      </c>
      <c r="L29" s="30">
        <f t="shared" si="21"/>
        <v>-70411.439098005212</v>
      </c>
      <c r="M29" s="30">
        <f t="shared" si="21"/>
        <v>-71611.789654633612</v>
      </c>
      <c r="N29" s="30">
        <f t="shared" si="21"/>
        <v>-72835.257871754875</v>
      </c>
      <c r="O29" s="30">
        <f t="shared" si="21"/>
        <v>-74082.288974494091</v>
      </c>
      <c r="P29" s="30">
        <f t="shared" si="21"/>
        <v>-75353.336762607403</v>
      </c>
      <c r="Q29" s="30">
        <f t="shared" si="21"/>
        <v>-76648.863775621794</v>
      </c>
      <c r="R29" s="30">
        <f t="shared" si="21"/>
        <v>-77969.341461155011</v>
      </c>
      <c r="S29" s="30">
        <f t="shared" si="21"/>
        <v>-79315.250346477347</v>
      </c>
      <c r="T29" s="30">
        <f t="shared" si="21"/>
        <v>-80687.080213377456</v>
      </c>
      <c r="U29" s="30">
        <f t="shared" si="21"/>
        <v>-82085.330276396009</v>
      </c>
      <c r="V29" s="30">
        <f t="shared" si="21"/>
        <v>-83510.509364491852</v>
      </c>
      <c r="W29" s="30">
        <f t="shared" si="21"/>
        <v>-84963.136106207079</v>
      </c>
      <c r="X29" s="30">
        <f t="shared" si="21"/>
        <v>-86443.739118397993</v>
      </c>
    </row>
    <row r="30" spans="1:25" x14ac:dyDescent="0.35">
      <c r="B30" s="4" t="s">
        <v>34</v>
      </c>
      <c r="C30" s="4"/>
      <c r="D30" s="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5" x14ac:dyDescent="0.35">
      <c r="B31" s="10" t="s">
        <v>35</v>
      </c>
      <c r="C31" s="10"/>
      <c r="D31" s="10"/>
      <c r="E31" s="26">
        <f t="shared" ref="E31:X31" si="22">E29+E30</f>
        <v>-11784.267999999998</v>
      </c>
      <c r="F31" s="26">
        <f t="shared" si="22"/>
        <v>-63670.914232254538</v>
      </c>
      <c r="G31" s="26">
        <f t="shared" si="22"/>
        <v>-64741.448407718453</v>
      </c>
      <c r="H31" s="26">
        <f t="shared" si="22"/>
        <v>-65832.600098188923</v>
      </c>
      <c r="I31" s="26">
        <f t="shared" si="22"/>
        <v>-66944.76637826176</v>
      </c>
      <c r="J31" s="26">
        <f t="shared" si="22"/>
        <v>-68078.351969828538</v>
      </c>
      <c r="K31" s="26">
        <f t="shared" si="22"/>
        <v>-69233.769389356559</v>
      </c>
      <c r="L31" s="26">
        <f t="shared" si="22"/>
        <v>-70411.439098005212</v>
      </c>
      <c r="M31" s="26">
        <f t="shared" si="22"/>
        <v>-71611.789654633612</v>
      </c>
      <c r="N31" s="26">
        <f t="shared" si="22"/>
        <v>-72835.257871754875</v>
      </c>
      <c r="O31" s="26">
        <f t="shared" si="22"/>
        <v>-74082.288974494091</v>
      </c>
      <c r="P31" s="26">
        <f t="shared" si="22"/>
        <v>-75353.336762607403</v>
      </c>
      <c r="Q31" s="26">
        <f t="shared" si="22"/>
        <v>-76648.863775621794</v>
      </c>
      <c r="R31" s="26">
        <f t="shared" si="22"/>
        <v>-77969.341461155011</v>
      </c>
      <c r="S31" s="26">
        <f t="shared" si="22"/>
        <v>-79315.250346477347</v>
      </c>
      <c r="T31" s="26">
        <f t="shared" si="22"/>
        <v>-80687.080213377456</v>
      </c>
      <c r="U31" s="26">
        <f t="shared" si="22"/>
        <v>-82085.330276396009</v>
      </c>
      <c r="V31" s="26">
        <f t="shared" si="22"/>
        <v>-83510.509364491852</v>
      </c>
      <c r="W31" s="26">
        <f t="shared" si="22"/>
        <v>-84963.136106207079</v>
      </c>
      <c r="X31" s="26">
        <f t="shared" si="22"/>
        <v>-86443.739118397993</v>
      </c>
    </row>
    <row r="32" spans="1:25" x14ac:dyDescent="0.35">
      <c r="B32" s="2"/>
      <c r="E32" s="18"/>
      <c r="F32" s="21"/>
      <c r="G32" s="18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</row>
    <row r="33" spans="2:24" x14ac:dyDescent="0.35">
      <c r="B33" s="2"/>
      <c r="E33" s="18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2:24" x14ac:dyDescent="0.35">
      <c r="B34" s="97" t="s">
        <v>36</v>
      </c>
      <c r="C34" s="97">
        <f>C19</f>
        <v>2023</v>
      </c>
      <c r="D34" s="97">
        <f t="shared" ref="D34:X34" si="23">D19</f>
        <v>2024</v>
      </c>
      <c r="E34" s="97">
        <f t="shared" si="23"/>
        <v>2025</v>
      </c>
      <c r="F34" s="97">
        <f t="shared" si="23"/>
        <v>2026</v>
      </c>
      <c r="G34" s="97">
        <f t="shared" si="23"/>
        <v>2027</v>
      </c>
      <c r="H34" s="97">
        <f t="shared" si="23"/>
        <v>2028</v>
      </c>
      <c r="I34" s="97">
        <f t="shared" si="23"/>
        <v>2029</v>
      </c>
      <c r="J34" s="97">
        <f t="shared" si="23"/>
        <v>2030</v>
      </c>
      <c r="K34" s="97">
        <f t="shared" si="23"/>
        <v>2031</v>
      </c>
      <c r="L34" s="97">
        <f t="shared" si="23"/>
        <v>2032</v>
      </c>
      <c r="M34" s="97">
        <f t="shared" si="23"/>
        <v>2033</v>
      </c>
      <c r="N34" s="97">
        <f t="shared" si="23"/>
        <v>2034</v>
      </c>
      <c r="O34" s="97">
        <f t="shared" si="23"/>
        <v>2035</v>
      </c>
      <c r="P34" s="97">
        <f t="shared" si="23"/>
        <v>2036</v>
      </c>
      <c r="Q34" s="97">
        <f t="shared" si="23"/>
        <v>2037</v>
      </c>
      <c r="R34" s="97">
        <f t="shared" si="23"/>
        <v>2038</v>
      </c>
      <c r="S34" s="97">
        <f t="shared" si="23"/>
        <v>2039</v>
      </c>
      <c r="T34" s="97">
        <f t="shared" si="23"/>
        <v>2040</v>
      </c>
      <c r="U34" s="97">
        <f t="shared" si="23"/>
        <v>2041</v>
      </c>
      <c r="V34" s="97">
        <f t="shared" si="23"/>
        <v>2042</v>
      </c>
      <c r="W34" s="97">
        <f t="shared" si="23"/>
        <v>2043</v>
      </c>
      <c r="X34" s="97">
        <f t="shared" si="23"/>
        <v>2044</v>
      </c>
    </row>
    <row r="35" spans="2:24" x14ac:dyDescent="0.35">
      <c r="B35" t="s">
        <v>33</v>
      </c>
      <c r="C35" s="32">
        <f>C29</f>
        <v>0</v>
      </c>
      <c r="D35" s="32">
        <f t="shared" ref="D35:X35" si="24">D29</f>
        <v>0</v>
      </c>
      <c r="E35" s="32">
        <f t="shared" si="24"/>
        <v>-11784.267999999998</v>
      </c>
      <c r="F35" s="32">
        <f t="shared" si="24"/>
        <v>-63670.914232254538</v>
      </c>
      <c r="G35" s="32">
        <f t="shared" si="24"/>
        <v>-64741.448407718453</v>
      </c>
      <c r="H35" s="32">
        <f t="shared" si="24"/>
        <v>-65832.600098188923</v>
      </c>
      <c r="I35" s="32">
        <f t="shared" si="24"/>
        <v>-66944.76637826176</v>
      </c>
      <c r="J35" s="32">
        <f t="shared" si="24"/>
        <v>-68078.351969828538</v>
      </c>
      <c r="K35" s="32">
        <f t="shared" si="24"/>
        <v>-69233.769389356559</v>
      </c>
      <c r="L35" s="32">
        <f t="shared" si="24"/>
        <v>-70411.439098005212</v>
      </c>
      <c r="M35" s="32">
        <f t="shared" si="24"/>
        <v>-71611.789654633612</v>
      </c>
      <c r="N35" s="32">
        <f t="shared" si="24"/>
        <v>-72835.257871754875</v>
      </c>
      <c r="O35" s="32">
        <f t="shared" si="24"/>
        <v>-74082.288974494091</v>
      </c>
      <c r="P35" s="32">
        <f t="shared" si="24"/>
        <v>-75353.336762607403</v>
      </c>
      <c r="Q35" s="32">
        <f t="shared" si="24"/>
        <v>-76648.863775621794</v>
      </c>
      <c r="R35" s="32">
        <f t="shared" si="24"/>
        <v>-77969.341461155011</v>
      </c>
      <c r="S35" s="32">
        <f t="shared" si="24"/>
        <v>-79315.250346477347</v>
      </c>
      <c r="T35" s="32">
        <f t="shared" si="24"/>
        <v>-80687.080213377456</v>
      </c>
      <c r="U35" s="32">
        <f t="shared" si="24"/>
        <v>-82085.330276396009</v>
      </c>
      <c r="V35" s="32">
        <f t="shared" si="24"/>
        <v>-83510.509364491852</v>
      </c>
      <c r="W35" s="32">
        <f t="shared" si="24"/>
        <v>-84963.136106207079</v>
      </c>
      <c r="X35" s="32">
        <f t="shared" si="24"/>
        <v>-86443.739118397993</v>
      </c>
    </row>
    <row r="36" spans="2:24" x14ac:dyDescent="0.35">
      <c r="B36" t="s">
        <v>32</v>
      </c>
      <c r="C36" s="32">
        <f>-C28</f>
        <v>0</v>
      </c>
      <c r="D36" s="32">
        <f t="shared" ref="D36:X36" si="25">-D28</f>
        <v>0</v>
      </c>
      <c r="E36" s="32">
        <f t="shared" si="25"/>
        <v>2695</v>
      </c>
      <c r="F36" s="32">
        <f t="shared" si="25"/>
        <v>8085</v>
      </c>
      <c r="G36" s="32">
        <f t="shared" si="25"/>
        <v>8085</v>
      </c>
      <c r="H36" s="32">
        <f t="shared" si="25"/>
        <v>8085</v>
      </c>
      <c r="I36" s="32">
        <f t="shared" si="25"/>
        <v>8085</v>
      </c>
      <c r="J36" s="32">
        <f t="shared" si="25"/>
        <v>8085</v>
      </c>
      <c r="K36" s="32">
        <f t="shared" si="25"/>
        <v>8085</v>
      </c>
      <c r="L36" s="32">
        <f t="shared" si="25"/>
        <v>8085</v>
      </c>
      <c r="M36" s="32">
        <f t="shared" si="25"/>
        <v>8085</v>
      </c>
      <c r="N36" s="32">
        <f t="shared" si="25"/>
        <v>8085</v>
      </c>
      <c r="O36" s="32">
        <f t="shared" si="25"/>
        <v>8085</v>
      </c>
      <c r="P36" s="32">
        <f t="shared" si="25"/>
        <v>8085</v>
      </c>
      <c r="Q36" s="32">
        <f t="shared" si="25"/>
        <v>8085</v>
      </c>
      <c r="R36" s="32">
        <f t="shared" si="25"/>
        <v>8085</v>
      </c>
      <c r="S36" s="32">
        <f t="shared" si="25"/>
        <v>8085</v>
      </c>
      <c r="T36" s="32">
        <f t="shared" si="25"/>
        <v>8085</v>
      </c>
      <c r="U36" s="32">
        <f t="shared" si="25"/>
        <v>8085</v>
      </c>
      <c r="V36" s="32">
        <f t="shared" si="25"/>
        <v>8085</v>
      </c>
      <c r="W36" s="32">
        <f t="shared" si="25"/>
        <v>8085</v>
      </c>
      <c r="X36" s="32">
        <f t="shared" si="25"/>
        <v>8085</v>
      </c>
    </row>
    <row r="37" spans="2:24" x14ac:dyDescent="0.35">
      <c r="B37" s="2" t="s">
        <v>38</v>
      </c>
      <c r="C37" s="30">
        <f>SUM(C35:C36)</f>
        <v>0</v>
      </c>
      <c r="D37" s="30">
        <f t="shared" ref="D37:X37" si="26">SUM(D35:D36)</f>
        <v>0</v>
      </c>
      <c r="E37" s="30">
        <f t="shared" si="26"/>
        <v>-9089.2679999999982</v>
      </c>
      <c r="F37" s="30">
        <f t="shared" si="26"/>
        <v>-55585.914232254538</v>
      </c>
      <c r="G37" s="30">
        <f t="shared" si="26"/>
        <v>-56656.448407718453</v>
      </c>
      <c r="H37" s="30">
        <f t="shared" si="26"/>
        <v>-57747.600098188923</v>
      </c>
      <c r="I37" s="30">
        <f t="shared" si="26"/>
        <v>-58859.76637826176</v>
      </c>
      <c r="J37" s="30">
        <f t="shared" si="26"/>
        <v>-59993.351969828538</v>
      </c>
      <c r="K37" s="30">
        <f t="shared" si="26"/>
        <v>-61148.769389356559</v>
      </c>
      <c r="L37" s="30">
        <f t="shared" si="26"/>
        <v>-62326.439098005212</v>
      </c>
      <c r="M37" s="30">
        <f t="shared" si="26"/>
        <v>-63526.789654633612</v>
      </c>
      <c r="N37" s="30">
        <f t="shared" si="26"/>
        <v>-64750.257871754875</v>
      </c>
      <c r="O37" s="30">
        <f t="shared" si="26"/>
        <v>-65997.288974494091</v>
      </c>
      <c r="P37" s="30">
        <f t="shared" si="26"/>
        <v>-67268.336762607403</v>
      </c>
      <c r="Q37" s="30">
        <f t="shared" si="26"/>
        <v>-68563.863775621794</v>
      </c>
      <c r="R37" s="30">
        <f t="shared" si="26"/>
        <v>-69884.341461155011</v>
      </c>
      <c r="S37" s="30">
        <f t="shared" si="26"/>
        <v>-71230.250346477347</v>
      </c>
      <c r="T37" s="30">
        <f t="shared" si="26"/>
        <v>-72602.080213377456</v>
      </c>
      <c r="U37" s="30">
        <f t="shared" si="26"/>
        <v>-74000.330276396009</v>
      </c>
      <c r="V37" s="30">
        <f t="shared" si="26"/>
        <v>-75425.509364491852</v>
      </c>
      <c r="W37" s="30">
        <f t="shared" si="26"/>
        <v>-76878.136106207079</v>
      </c>
      <c r="X37" s="30">
        <f t="shared" si="26"/>
        <v>-78358.739118397993</v>
      </c>
    </row>
    <row r="38" spans="2:24" x14ac:dyDescent="0.35">
      <c r="B38" t="s">
        <v>40</v>
      </c>
      <c r="C38" s="32">
        <f>-D10</f>
        <v>0</v>
      </c>
      <c r="D38" s="32">
        <f t="shared" ref="D38:E38" si="27">-E10</f>
        <v>-266040</v>
      </c>
      <c r="E38" s="32">
        <f t="shared" si="27"/>
        <v>0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2:24" x14ac:dyDescent="0.35">
      <c r="B39" s="2" t="s">
        <v>41</v>
      </c>
      <c r="C39" s="30">
        <f>C38</f>
        <v>0</v>
      </c>
      <c r="D39" s="30">
        <f t="shared" ref="D39:X39" si="28">D38</f>
        <v>-266040</v>
      </c>
      <c r="E39" s="30">
        <f t="shared" si="28"/>
        <v>0</v>
      </c>
      <c r="F39" s="30">
        <f t="shared" si="28"/>
        <v>0</v>
      </c>
      <c r="G39" s="30">
        <f t="shared" si="28"/>
        <v>0</v>
      </c>
      <c r="H39" s="30">
        <f t="shared" si="28"/>
        <v>0</v>
      </c>
      <c r="I39" s="30">
        <f t="shared" si="28"/>
        <v>0</v>
      </c>
      <c r="J39" s="30">
        <f t="shared" si="28"/>
        <v>0</v>
      </c>
      <c r="K39" s="30">
        <f t="shared" si="28"/>
        <v>0</v>
      </c>
      <c r="L39" s="30">
        <f t="shared" si="28"/>
        <v>0</v>
      </c>
      <c r="M39" s="30">
        <f t="shared" si="28"/>
        <v>0</v>
      </c>
      <c r="N39" s="30">
        <f t="shared" si="28"/>
        <v>0</v>
      </c>
      <c r="O39" s="30">
        <f t="shared" si="28"/>
        <v>0</v>
      </c>
      <c r="P39" s="30">
        <f t="shared" si="28"/>
        <v>0</v>
      </c>
      <c r="Q39" s="30">
        <f t="shared" si="28"/>
        <v>0</v>
      </c>
      <c r="R39" s="30">
        <f t="shared" si="28"/>
        <v>0</v>
      </c>
      <c r="S39" s="30">
        <f t="shared" si="28"/>
        <v>0</v>
      </c>
      <c r="T39" s="30">
        <f t="shared" si="28"/>
        <v>0</v>
      </c>
      <c r="U39" s="30">
        <f t="shared" si="28"/>
        <v>0</v>
      </c>
      <c r="V39" s="30">
        <f t="shared" si="28"/>
        <v>0</v>
      </c>
      <c r="W39" s="30">
        <f t="shared" si="28"/>
        <v>0</v>
      </c>
      <c r="X39" s="30">
        <f t="shared" si="28"/>
        <v>0</v>
      </c>
    </row>
    <row r="40" spans="2:24" x14ac:dyDescent="0.35">
      <c r="B40" t="s">
        <v>42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2:24" x14ac:dyDescent="0.35">
      <c r="B41" t="s">
        <v>43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2:24" x14ac:dyDescent="0.35">
      <c r="B42" t="s">
        <v>109</v>
      </c>
      <c r="C42" s="32"/>
      <c r="D42" s="32">
        <f>IF(E22&lt;=3,E13,SUM(E13:E14))</f>
        <v>266040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2:24" x14ac:dyDescent="0.35">
      <c r="B43" s="2" t="s">
        <v>44</v>
      </c>
      <c r="C43" s="30">
        <f>SUM(C40:C42)</f>
        <v>0</v>
      </c>
      <c r="D43" s="30">
        <f t="shared" ref="D43:X43" si="29">SUM(D40:D42)</f>
        <v>266040</v>
      </c>
      <c r="E43" s="30">
        <f t="shared" si="29"/>
        <v>0</v>
      </c>
      <c r="F43" s="30">
        <f t="shared" si="29"/>
        <v>0</v>
      </c>
      <c r="G43" s="30">
        <f t="shared" si="29"/>
        <v>0</v>
      </c>
      <c r="H43" s="30">
        <f t="shared" si="29"/>
        <v>0</v>
      </c>
      <c r="I43" s="30">
        <f t="shared" si="29"/>
        <v>0</v>
      </c>
      <c r="J43" s="30">
        <f t="shared" si="29"/>
        <v>0</v>
      </c>
      <c r="K43" s="30">
        <f t="shared" si="29"/>
        <v>0</v>
      </c>
      <c r="L43" s="30">
        <f t="shared" si="29"/>
        <v>0</v>
      </c>
      <c r="M43" s="30">
        <f t="shared" si="29"/>
        <v>0</v>
      </c>
      <c r="N43" s="30">
        <f t="shared" si="29"/>
        <v>0</v>
      </c>
      <c r="O43" s="30">
        <f t="shared" si="29"/>
        <v>0</v>
      </c>
      <c r="P43" s="30">
        <f t="shared" si="29"/>
        <v>0</v>
      </c>
      <c r="Q43" s="30">
        <f t="shared" si="29"/>
        <v>0</v>
      </c>
      <c r="R43" s="30">
        <f t="shared" si="29"/>
        <v>0</v>
      </c>
      <c r="S43" s="30">
        <f t="shared" si="29"/>
        <v>0</v>
      </c>
      <c r="T43" s="30">
        <f t="shared" si="29"/>
        <v>0</v>
      </c>
      <c r="U43" s="30">
        <f t="shared" si="29"/>
        <v>0</v>
      </c>
      <c r="V43" s="30">
        <f t="shared" si="29"/>
        <v>0</v>
      </c>
      <c r="W43" s="30">
        <f t="shared" si="29"/>
        <v>0</v>
      </c>
      <c r="X43" s="30">
        <f t="shared" si="29"/>
        <v>0</v>
      </c>
    </row>
    <row r="44" spans="2:24" x14ac:dyDescent="0.35">
      <c r="B44" s="27" t="s">
        <v>45</v>
      </c>
      <c r="C44" s="34">
        <f>C37+C39+C43</f>
        <v>0</v>
      </c>
      <c r="D44" s="34">
        <f t="shared" ref="D44:X44" si="30">D37+D39+D43</f>
        <v>0</v>
      </c>
      <c r="E44" s="34">
        <f t="shared" si="30"/>
        <v>-9089.2679999999982</v>
      </c>
      <c r="F44" s="34">
        <f t="shared" si="30"/>
        <v>-55585.914232254538</v>
      </c>
      <c r="G44" s="34">
        <f t="shared" si="30"/>
        <v>-56656.448407718453</v>
      </c>
      <c r="H44" s="34">
        <f t="shared" si="30"/>
        <v>-57747.600098188923</v>
      </c>
      <c r="I44" s="34">
        <f t="shared" si="30"/>
        <v>-58859.76637826176</v>
      </c>
      <c r="J44" s="34">
        <f t="shared" si="30"/>
        <v>-59993.351969828538</v>
      </c>
      <c r="K44" s="34">
        <f t="shared" si="30"/>
        <v>-61148.769389356559</v>
      </c>
      <c r="L44" s="34">
        <f t="shared" si="30"/>
        <v>-62326.439098005212</v>
      </c>
      <c r="M44" s="34">
        <f t="shared" si="30"/>
        <v>-63526.789654633612</v>
      </c>
      <c r="N44" s="34">
        <f t="shared" si="30"/>
        <v>-64750.257871754875</v>
      </c>
      <c r="O44" s="34">
        <f t="shared" si="30"/>
        <v>-65997.288974494091</v>
      </c>
      <c r="P44" s="34">
        <f t="shared" si="30"/>
        <v>-67268.336762607403</v>
      </c>
      <c r="Q44" s="34">
        <f t="shared" si="30"/>
        <v>-68563.863775621794</v>
      </c>
      <c r="R44" s="34">
        <f t="shared" si="30"/>
        <v>-69884.341461155011</v>
      </c>
      <c r="S44" s="34">
        <f t="shared" si="30"/>
        <v>-71230.250346477347</v>
      </c>
      <c r="T44" s="34">
        <f t="shared" si="30"/>
        <v>-72602.080213377456</v>
      </c>
      <c r="U44" s="34">
        <f t="shared" si="30"/>
        <v>-74000.330276396009</v>
      </c>
      <c r="V44" s="34">
        <f t="shared" si="30"/>
        <v>-75425.509364491852</v>
      </c>
      <c r="W44" s="34">
        <f t="shared" si="30"/>
        <v>-76878.136106207079</v>
      </c>
      <c r="X44" s="34">
        <f t="shared" si="30"/>
        <v>-78358.739118397993</v>
      </c>
    </row>
    <row r="45" spans="2:24" x14ac:dyDescent="0.35">
      <c r="B45" t="s">
        <v>107</v>
      </c>
      <c r="C45" s="32">
        <v>1</v>
      </c>
      <c r="D45" s="32">
        <v>1</v>
      </c>
      <c r="E45" s="111">
        <f t="shared" ref="E45:X45" si="31">D45/(1+$C$47)</f>
        <v>0.9433700127029061</v>
      </c>
      <c r="F45" s="111">
        <f t="shared" si="31"/>
        <v>0.88994698086708124</v>
      </c>
      <c r="G45" s="111">
        <f t="shared" si="31"/>
        <v>0.83954929464549133</v>
      </c>
      <c r="H45" s="111">
        <f t="shared" si="31"/>
        <v>0.79200562875443303</v>
      </c>
      <c r="I45" s="111">
        <f t="shared" si="31"/>
        <v>0.74715436005884261</v>
      </c>
      <c r="J45" s="111">
        <f t="shared" si="31"/>
        <v>0.70484301813974204</v>
      </c>
      <c r="K45" s="111">
        <f t="shared" si="31"/>
        <v>0.66492776697604306</v>
      </c>
      <c r="L45" s="111">
        <f t="shared" si="31"/>
        <v>0.62727291597870471</v>
      </c>
      <c r="M45" s="111">
        <f t="shared" si="31"/>
        <v>0.59175045871501963</v>
      </c>
      <c r="N45" s="111">
        <f t="shared" si="31"/>
        <v>0.55823963775493857</v>
      </c>
      <c r="O45" s="111">
        <f t="shared" si="31"/>
        <v>0.52662653416014205</v>
      </c>
      <c r="P45" s="111">
        <f t="shared" si="31"/>
        <v>0.4968036802203406</v>
      </c>
      <c r="Q45" s="111">
        <f t="shared" si="31"/>
        <v>0.46866969412031317</v>
      </c>
      <c r="R45" s="111">
        <f t="shared" si="31"/>
        <v>0.44212893529574693</v>
      </c>
      <c r="S45" s="111">
        <f t="shared" si="31"/>
        <v>0.4170911793062711</v>
      </c>
      <c r="T45" s="111">
        <f t="shared" si="31"/>
        <v>0.39347131112042705</v>
      </c>
      <c r="U45" s="111">
        <f t="shared" si="31"/>
        <v>0.37118903576990636</v>
      </c>
      <c r="V45" s="111">
        <f t="shared" si="31"/>
        <v>0.35016860538943601</v>
      </c>
      <c r="W45" s="111">
        <f t="shared" si="31"/>
        <v>0.33033856171439113</v>
      </c>
      <c r="X45" s="111">
        <f t="shared" si="31"/>
        <v>0.31163149316076488</v>
      </c>
    </row>
    <row r="46" spans="2:24" x14ac:dyDescent="0.35">
      <c r="B46" s="2" t="s">
        <v>108</v>
      </c>
      <c r="C46" s="30">
        <f>C44*C45</f>
        <v>0</v>
      </c>
      <c r="D46" s="30">
        <f t="shared" ref="D46:X46" si="32">D44*D45</f>
        <v>0</v>
      </c>
      <c r="E46" s="30">
        <f t="shared" si="32"/>
        <v>-8574.5428686201158</v>
      </c>
      <c r="F46" s="30">
        <f t="shared" si="32"/>
        <v>-49468.516549731445</v>
      </c>
      <c r="G46" s="30">
        <f t="shared" si="32"/>
        <v>-47565.881297818698</v>
      </c>
      <c r="H46" s="30">
        <f t="shared" si="32"/>
        <v>-45736.424324825675</v>
      </c>
      <c r="I46" s="30">
        <f t="shared" si="32"/>
        <v>-43977.331081563148</v>
      </c>
      <c r="J46" s="30">
        <f t="shared" si="32"/>
        <v>-42285.895270733788</v>
      </c>
      <c r="K46" s="30">
        <f t="shared" si="32"/>
        <v>-40659.514683397872</v>
      </c>
      <c r="L46" s="30">
        <f t="shared" si="32"/>
        <v>-39095.687195574879</v>
      </c>
      <c r="M46" s="30">
        <f t="shared" si="32"/>
        <v>-37592.006918822</v>
      </c>
      <c r="N46" s="30">
        <f t="shared" si="32"/>
        <v>-36146.160498867299</v>
      </c>
      <c r="O46" s="30">
        <f t="shared" si="32"/>
        <v>-34755.923556603178</v>
      </c>
      <c r="P46" s="30">
        <f t="shared" si="32"/>
        <v>-33419.15726596459</v>
      </c>
      <c r="Q46" s="30">
        <f t="shared" si="32"/>
        <v>-32133.805063427488</v>
      </c>
      <c r="R46" s="30">
        <f t="shared" si="32"/>
        <v>-30897.889484064886</v>
      </c>
      <c r="S46" s="30">
        <f t="shared" si="32"/>
        <v>-29709.509119293161</v>
      </c>
      <c r="T46" s="30">
        <f t="shared" si="32"/>
        <v>-28566.835691628043</v>
      </c>
      <c r="U46" s="30">
        <f t="shared" si="32"/>
        <v>-27468.111241950042</v>
      </c>
      <c r="V46" s="30">
        <f t="shared" si="32"/>
        <v>-26411.645424951959</v>
      </c>
      <c r="W46" s="30">
        <f t="shared" si="32"/>
        <v>-25395.812908607648</v>
      </c>
      <c r="X46" s="30">
        <f t="shared" si="32"/>
        <v>-24419.050873661203</v>
      </c>
    </row>
    <row r="47" spans="2:24" x14ac:dyDescent="0.35">
      <c r="B47" t="s">
        <v>46</v>
      </c>
      <c r="C47" s="1">
        <f>Eeldused!D8</f>
        <v>6.0029454545454497E-2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</row>
    <row r="48" spans="2:24" x14ac:dyDescent="0.35">
      <c r="B48" s="10" t="s">
        <v>48</v>
      </c>
      <c r="C48" s="25" t="e">
        <f>IRR(C44:X44)</f>
        <v>#NUM!</v>
      </c>
      <c r="E48" s="19"/>
      <c r="F48" s="19"/>
      <c r="G48" s="19"/>
      <c r="H48" s="19"/>
      <c r="I48" s="32"/>
      <c r="J48" s="32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</row>
    <row r="49" spans="1:25" x14ac:dyDescent="0.35">
      <c r="B49" s="10" t="s">
        <v>47</v>
      </c>
      <c r="C49" s="26">
        <f>SUM(C46:X46)</f>
        <v>-684279.70132010709</v>
      </c>
      <c r="E49" s="19"/>
      <c r="F49" s="19"/>
      <c r="G49" s="19"/>
      <c r="H49" s="19"/>
      <c r="I49" s="32"/>
      <c r="J49" s="32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</row>
    <row r="50" spans="1:25" x14ac:dyDescent="0.35">
      <c r="B50" s="2"/>
      <c r="C50" s="30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</row>
    <row r="51" spans="1:25" x14ac:dyDescent="0.35">
      <c r="A51" t="s">
        <v>152</v>
      </c>
      <c r="B51" s="97" t="s">
        <v>200</v>
      </c>
      <c r="C51" s="97">
        <f>C19</f>
        <v>2023</v>
      </c>
      <c r="D51" s="97">
        <f>C51+1</f>
        <v>2024</v>
      </c>
      <c r="E51" s="97">
        <f t="shared" ref="E51:X51" si="33">D51+1</f>
        <v>2025</v>
      </c>
      <c r="F51" s="97">
        <f t="shared" si="33"/>
        <v>2026</v>
      </c>
      <c r="G51" s="97">
        <f t="shared" si="33"/>
        <v>2027</v>
      </c>
      <c r="H51" s="97">
        <f t="shared" si="33"/>
        <v>2028</v>
      </c>
      <c r="I51" s="97">
        <f t="shared" si="33"/>
        <v>2029</v>
      </c>
      <c r="J51" s="97">
        <f t="shared" si="33"/>
        <v>2030</v>
      </c>
      <c r="K51" s="97">
        <f t="shared" si="33"/>
        <v>2031</v>
      </c>
      <c r="L51" s="97">
        <f t="shared" si="33"/>
        <v>2032</v>
      </c>
      <c r="M51" s="97">
        <f t="shared" si="33"/>
        <v>2033</v>
      </c>
      <c r="N51" s="97">
        <f t="shared" si="33"/>
        <v>2034</v>
      </c>
      <c r="O51" s="97">
        <f t="shared" si="33"/>
        <v>2035</v>
      </c>
      <c r="P51" s="97">
        <f t="shared" si="33"/>
        <v>2036</v>
      </c>
      <c r="Q51" s="97">
        <f t="shared" si="33"/>
        <v>2037</v>
      </c>
      <c r="R51" s="97">
        <f t="shared" si="33"/>
        <v>2038</v>
      </c>
      <c r="S51" s="97">
        <f t="shared" si="33"/>
        <v>2039</v>
      </c>
      <c r="T51" s="97">
        <f t="shared" si="33"/>
        <v>2040</v>
      </c>
      <c r="U51" s="97">
        <f t="shared" si="33"/>
        <v>2041</v>
      </c>
      <c r="V51" s="97">
        <f t="shared" si="33"/>
        <v>2042</v>
      </c>
      <c r="W51" s="97">
        <f t="shared" si="33"/>
        <v>2043</v>
      </c>
      <c r="X51" s="97">
        <f t="shared" si="33"/>
        <v>2044</v>
      </c>
    </row>
    <row r="52" spans="1:25" x14ac:dyDescent="0.35">
      <c r="B52" s="2" t="s">
        <v>29</v>
      </c>
      <c r="C52" s="30"/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</row>
    <row r="53" spans="1:25" x14ac:dyDescent="0.35">
      <c r="B53" t="s">
        <v>83</v>
      </c>
      <c r="C53" s="30"/>
      <c r="E53" s="32">
        <f>-SUM(Eeldused!E45:E49)*Eeldused!D35*0.5*4</f>
        <v>-900.19818857142855</v>
      </c>
      <c r="F53" s="32">
        <f>-SUM(Eeldused!E45:E49)*Eeldused!D35*12*(1+Eeldused!$D$4)</f>
        <v>-5505.2111239279475</v>
      </c>
      <c r="G53" s="32">
        <f>F53*(1+Eeldused!$D$4)</f>
        <v>-5611.2364854374136</v>
      </c>
      <c r="H53" s="32">
        <f>G53*(1+Eeldused!$D$4)</f>
        <v>-5719.3037990228604</v>
      </c>
      <c r="I53" s="32">
        <f>H53*(1+Eeldused!$D$4)</f>
        <v>-5829.4523908249503</v>
      </c>
      <c r="J53" s="32">
        <f>I53*(1+Eeldused!$D$4)</f>
        <v>-5941.722344370065</v>
      </c>
      <c r="K53" s="32">
        <f>J53*(1+Eeldused!$D$4)</f>
        <v>-6056.1545151568644</v>
      </c>
      <c r="L53" s="32">
        <f>K53*(1+Eeldused!$D$4)</f>
        <v>-6172.7905455237715</v>
      </c>
      <c r="M53" s="32">
        <f>L53*(1+Eeldused!$D$4)</f>
        <v>-6291.6728798027898</v>
      </c>
      <c r="N53" s="32">
        <f>M53*(1+Eeldused!$D$4)</f>
        <v>-6412.8447797651734</v>
      </c>
      <c r="O53" s="32">
        <f>N53*(1+Eeldused!$D$4)</f>
        <v>-6536.3503403645591</v>
      </c>
      <c r="P53" s="32">
        <f>O53*(1+Eeldused!$D$4)</f>
        <v>-6662.2345057833072</v>
      </c>
      <c r="Q53" s="32">
        <f>P53*(1+Eeldused!$D$4)</f>
        <v>-6790.54308578787</v>
      </c>
      <c r="R53" s="32">
        <f>Q53*(1+Eeldused!$D$4)</f>
        <v>-6921.3227723991567</v>
      </c>
      <c r="S53" s="32">
        <f>R53*(1+Eeldused!$D$4)</f>
        <v>-7054.6211568839526</v>
      </c>
      <c r="T53" s="32">
        <f>S53*(1+Eeldused!$D$4)</f>
        <v>-7190.4867470735762</v>
      </c>
      <c r="U53" s="32">
        <f>T53*(1+Eeldused!$D$4)</f>
        <v>-7328.9689850160794</v>
      </c>
      <c r="V53" s="32">
        <f>U53*(1+Eeldused!$D$4)</f>
        <v>-7470.1182649684115</v>
      </c>
      <c r="W53" s="32">
        <f>V53*(1+Eeldused!$D$4)</f>
        <v>-7613.9859517350978</v>
      </c>
      <c r="X53" s="32">
        <f>W53*(1+Eeldused!$D$4)</f>
        <v>-7760.6243993601047</v>
      </c>
    </row>
    <row r="54" spans="1:25" ht="14" customHeight="1" x14ac:dyDescent="0.35">
      <c r="B54" t="s">
        <v>116</v>
      </c>
      <c r="C54" s="30"/>
      <c r="E54" s="32">
        <f>-Eeldused!D40*Eeldused!D35*0.5*4</f>
        <v>-592.79999999999995</v>
      </c>
      <c r="F54" s="32">
        <f>-Eeldused!D40*Eeldused!D35*12*(1+Eeldused!$D$4)</f>
        <v>-3625.3007345454539</v>
      </c>
      <c r="G54" s="32">
        <f>F54*(1+Eeldused!$D$4)</f>
        <v>-3695.1207309648585</v>
      </c>
      <c r="H54" s="32">
        <f>G54*(1+Eeldused!$D$4)</f>
        <v>-3766.2853970425767</v>
      </c>
      <c r="I54" s="32">
        <f>H54*(1+Eeldused!$D$4)</f>
        <v>-3838.8206298938012</v>
      </c>
      <c r="J54" s="32">
        <f>I54*(1+Eeldused!$D$4)</f>
        <v>-3912.7528253886194</v>
      </c>
      <c r="K54" s="32">
        <f>J54*(1+Eeldused!$D$4)</f>
        <v>-3988.1088877575808</v>
      </c>
      <c r="L54" s="32">
        <f>K54*(1+Eeldused!$D$4)</f>
        <v>-4064.9162393822571</v>
      </c>
      <c r="M54" s="32">
        <f>L54*(1+Eeldused!$D$4)</f>
        <v>-4143.2028307743594</v>
      </c>
      <c r="N54" s="32">
        <f>M54*(1+Eeldused!$D$4)</f>
        <v>-4222.9971507470455</v>
      </c>
      <c r="O54" s="32">
        <f>N54*(1+Eeldused!$D$4)</f>
        <v>-4304.3282367821148</v>
      </c>
      <c r="P54" s="32">
        <f>O54*(1+Eeldused!$D$4)</f>
        <v>-4387.2256855968681</v>
      </c>
      <c r="Q54" s="32">
        <f>P54*(1+Eeldused!$D$4)</f>
        <v>-4471.7196639144768</v>
      </c>
      <c r="R54" s="32">
        <f>Q54*(1+Eeldused!$D$4)</f>
        <v>-4557.8409194417745</v>
      </c>
      <c r="S54" s="32">
        <f>R54*(1+Eeldused!$D$4)</f>
        <v>-4645.6207920584775</v>
      </c>
      <c r="T54" s="32">
        <f>S54*(1+Eeldused!$D$4)</f>
        <v>-4735.0912252218941</v>
      </c>
      <c r="U54" s="32">
        <f>T54*(1+Eeldused!$D$4)</f>
        <v>-4826.2847775912805</v>
      </c>
      <c r="V54" s="32">
        <f>U54*(1+Eeldused!$D$4)</f>
        <v>-4919.2346348760721</v>
      </c>
      <c r="W54" s="32">
        <f>V54*(1+Eeldused!$D$4)</f>
        <v>-5013.974621912299</v>
      </c>
      <c r="X54" s="32">
        <f>W54*(1+Eeldused!$D$4)</f>
        <v>-5110.5392149715826</v>
      </c>
    </row>
    <row r="55" spans="1:25" x14ac:dyDescent="0.35">
      <c r="B55" s="3" t="s">
        <v>30</v>
      </c>
      <c r="C55" s="33"/>
      <c r="D55" s="4"/>
      <c r="E55" s="31">
        <f>SUM(E53:E54)</f>
        <v>-1492.9981885714285</v>
      </c>
      <c r="F55" s="31">
        <f t="shared" ref="F55:X55" si="34">SUM(F53:F54)</f>
        <v>-9130.5118584734009</v>
      </c>
      <c r="G55" s="31">
        <f t="shared" si="34"/>
        <v>-9306.3572164022717</v>
      </c>
      <c r="H55" s="31">
        <f t="shared" si="34"/>
        <v>-9485.5891960654371</v>
      </c>
      <c r="I55" s="31">
        <f t="shared" si="34"/>
        <v>-9668.2730207187524</v>
      </c>
      <c r="J55" s="31">
        <f t="shared" si="34"/>
        <v>-9854.4751697586835</v>
      </c>
      <c r="K55" s="31">
        <f t="shared" si="34"/>
        <v>-10044.263402914445</v>
      </c>
      <c r="L55" s="31">
        <f t="shared" si="34"/>
        <v>-10237.706784906029</v>
      </c>
      <c r="M55" s="31">
        <f t="shared" si="34"/>
        <v>-10434.875710577149</v>
      </c>
      <c r="N55" s="31">
        <f t="shared" si="34"/>
        <v>-10635.841930512219</v>
      </c>
      <c r="O55" s="31">
        <f t="shared" si="34"/>
        <v>-10840.678577146675</v>
      </c>
      <c r="P55" s="31">
        <f t="shared" si="34"/>
        <v>-11049.460191380174</v>
      </c>
      <c r="Q55" s="31">
        <f t="shared" si="34"/>
        <v>-11262.262749702346</v>
      </c>
      <c r="R55" s="31">
        <f t="shared" si="34"/>
        <v>-11479.163691840931</v>
      </c>
      <c r="S55" s="31">
        <f t="shared" si="34"/>
        <v>-11700.24194894243</v>
      </c>
      <c r="T55" s="31">
        <f t="shared" si="34"/>
        <v>-11925.57797229547</v>
      </c>
      <c r="U55" s="31">
        <f t="shared" si="34"/>
        <v>-12155.253762607361</v>
      </c>
      <c r="V55" s="31">
        <f t="shared" si="34"/>
        <v>-12389.352899844484</v>
      </c>
      <c r="W55" s="31">
        <f t="shared" si="34"/>
        <v>-12627.960573647397</v>
      </c>
      <c r="X55" s="31">
        <f t="shared" si="34"/>
        <v>-12871.163614331686</v>
      </c>
    </row>
    <row r="56" spans="1:25" x14ac:dyDescent="0.35">
      <c r="B56" s="2" t="s">
        <v>31</v>
      </c>
      <c r="C56" s="30"/>
      <c r="E56" s="30">
        <f>E52+E55</f>
        <v>-1492.9981885714285</v>
      </c>
      <c r="F56" s="30">
        <f t="shared" ref="F56:X56" si="35">F52+F55</f>
        <v>-9130.5118584734009</v>
      </c>
      <c r="G56" s="30">
        <f t="shared" si="35"/>
        <v>-9306.3572164022717</v>
      </c>
      <c r="H56" s="30">
        <f t="shared" si="35"/>
        <v>-9485.5891960654371</v>
      </c>
      <c r="I56" s="30">
        <f t="shared" si="35"/>
        <v>-9668.2730207187524</v>
      </c>
      <c r="J56" s="30">
        <f t="shared" si="35"/>
        <v>-9854.4751697586835</v>
      </c>
      <c r="K56" s="30">
        <f t="shared" si="35"/>
        <v>-10044.263402914445</v>
      </c>
      <c r="L56" s="30">
        <f t="shared" si="35"/>
        <v>-10237.706784906029</v>
      </c>
      <c r="M56" s="30">
        <f t="shared" si="35"/>
        <v>-10434.875710577149</v>
      </c>
      <c r="N56" s="30">
        <f t="shared" si="35"/>
        <v>-10635.841930512219</v>
      </c>
      <c r="O56" s="30">
        <f t="shared" si="35"/>
        <v>-10840.678577146675</v>
      </c>
      <c r="P56" s="30">
        <f t="shared" si="35"/>
        <v>-11049.460191380174</v>
      </c>
      <c r="Q56" s="30">
        <f t="shared" si="35"/>
        <v>-11262.262749702346</v>
      </c>
      <c r="R56" s="30">
        <f t="shared" si="35"/>
        <v>-11479.163691840931</v>
      </c>
      <c r="S56" s="30">
        <f t="shared" si="35"/>
        <v>-11700.24194894243</v>
      </c>
      <c r="T56" s="30">
        <f t="shared" si="35"/>
        <v>-11925.57797229547</v>
      </c>
      <c r="U56" s="30">
        <f t="shared" si="35"/>
        <v>-12155.253762607361</v>
      </c>
      <c r="V56" s="30">
        <f t="shared" si="35"/>
        <v>-12389.352899844484</v>
      </c>
      <c r="W56" s="30">
        <f t="shared" si="35"/>
        <v>-12627.960573647397</v>
      </c>
      <c r="X56" s="30">
        <f t="shared" si="35"/>
        <v>-12871.163614331686</v>
      </c>
    </row>
    <row r="57" spans="1:25" x14ac:dyDescent="0.35">
      <c r="B57" t="s">
        <v>32</v>
      </c>
      <c r="C57" s="30"/>
      <c r="E57" s="32">
        <f>IF(SUM($C$57:D57)&gt;-SUM($J$5:$J$7),-SUM($J$5:$J$7)/Eeldused!$D$9,0)/12*4</f>
        <v>-2383.3333333333335</v>
      </c>
      <c r="F57" s="32">
        <f>IF(SUM($C$57:E57)&gt;-SUM($J$5:$J$7),-SUM($J$5:$J$7)/Eeldused!$D$9,0)</f>
        <v>-7150</v>
      </c>
      <c r="G57" s="32">
        <f>IF(SUM($C$57:F57)&gt;-SUM($J$5:$J$7),-SUM($J$5:$J$7)/Eeldused!$D$9,0)</f>
        <v>-7150</v>
      </c>
      <c r="H57" s="32">
        <f>IF(SUM($C$57:G57)&gt;-SUM($J$5:$J$7),-SUM($J$5:$J$7)/Eeldused!$D$9,0)</f>
        <v>-7150</v>
      </c>
      <c r="I57" s="32">
        <f>IF(SUM($C$57:H57)&gt;-SUM($J$5:$J$7),-SUM($J$5:$J$7)/Eeldused!$D$9,0)</f>
        <v>-7150</v>
      </c>
      <c r="J57" s="32">
        <f>IF(SUM($C$57:I57)&gt;-SUM($J$5:$J$7),-SUM($J$5:$J$7)/Eeldused!$D$9,0)</f>
        <v>-7150</v>
      </c>
      <c r="K57" s="32">
        <f>IF(SUM($C$57:J57)&gt;-SUM($J$5:$J$7),-SUM($J$5:$J$7)/Eeldused!$D$9,0)</f>
        <v>-7150</v>
      </c>
      <c r="L57" s="32">
        <f>IF(SUM($C$57:K57)&gt;-SUM($J$5:$J$7),-SUM($J$5:$J$7)/Eeldused!$D$9,0)</f>
        <v>-7150</v>
      </c>
      <c r="M57" s="32">
        <f>IF(SUM($C$57:L57)&gt;-SUM($J$5:$J$7),-SUM($J$5:$J$7)/Eeldused!$D$9,0)</f>
        <v>-7150</v>
      </c>
      <c r="N57" s="32">
        <f>IF(SUM($C$57:M57)&gt;-SUM($J$5:$J$7),-SUM($J$5:$J$7)/Eeldused!$D$9,0)</f>
        <v>-7150</v>
      </c>
      <c r="O57" s="32">
        <f>IF(SUM($C$57:N57)&gt;-SUM($J$5:$J$7),-SUM($J$5:$J$7)/Eeldused!$D$9,0)</f>
        <v>-7150</v>
      </c>
      <c r="P57" s="32">
        <f>IF(SUM($C$57:O57)&gt;-SUM($J$5:$J$7),-SUM($J$5:$J$7)/Eeldused!$D$9,0)</f>
        <v>-7150</v>
      </c>
      <c r="Q57" s="32">
        <f>IF(SUM($C$57:P57)&gt;-SUM($J$5:$J$7),-SUM($J$5:$J$7)/Eeldused!$D$9,0)</f>
        <v>-7150</v>
      </c>
      <c r="R57" s="32">
        <f>IF(SUM($C$57:Q57)&gt;-SUM($J$5:$J$7),-SUM($J$5:$J$7)/Eeldused!$D$9,0)</f>
        <v>-7150</v>
      </c>
      <c r="S57" s="32">
        <f>IF(SUM($C$57:R57)&gt;-SUM($J$5:$J$7),-SUM($J$5:$J$7)/Eeldused!$D$9,0)</f>
        <v>-7150</v>
      </c>
      <c r="T57" s="32">
        <f>IF(SUM($C$57:S57)&gt;-SUM($J$5:$J$7),-SUM($J$5:$J$7)/Eeldused!$D$9,0)</f>
        <v>-7150</v>
      </c>
      <c r="U57" s="32">
        <f>IF(SUM($C$57:T57)&gt;-SUM($J$5:$J$7),-SUM($J$5:$J$7)/Eeldused!$D$9,0)</f>
        <v>-7150</v>
      </c>
      <c r="V57" s="32">
        <f>IF(SUM($C$57:U57)&gt;-SUM($J$5:$J$7),-SUM($J$5:$J$7)/Eeldused!$D$9,0)</f>
        <v>-7150</v>
      </c>
      <c r="W57" s="32">
        <f>IF(SUM($C$57:V57)&gt;-SUM($J$5:$J$7),-SUM($J$5:$J$7)/Eeldused!$D$9,0)</f>
        <v>-7150</v>
      </c>
      <c r="X57" s="32">
        <f>IF(SUM($C$57:W57)&gt;-SUM($J$5:$J$7),-SUM($J$5:$J$7)/Eeldused!$D$9,0)</f>
        <v>-7150</v>
      </c>
      <c r="Y57" s="19"/>
    </row>
    <row r="58" spans="1:25" x14ac:dyDescent="0.35">
      <c r="B58" s="2" t="s">
        <v>33</v>
      </c>
      <c r="C58" s="30"/>
      <c r="E58" s="30">
        <f>E56+E57</f>
        <v>-3876.3315219047618</v>
      </c>
      <c r="F58" s="30">
        <f t="shared" ref="F58:X58" si="36">F56+F57</f>
        <v>-16280.511858473401</v>
      </c>
      <c r="G58" s="30">
        <f t="shared" si="36"/>
        <v>-16456.35721640227</v>
      </c>
      <c r="H58" s="30">
        <f t="shared" si="36"/>
        <v>-16635.589196065437</v>
      </c>
      <c r="I58" s="30">
        <f t="shared" si="36"/>
        <v>-16818.273020718752</v>
      </c>
      <c r="J58" s="30">
        <f t="shared" si="36"/>
        <v>-17004.475169758683</v>
      </c>
      <c r="K58" s="30">
        <f t="shared" si="36"/>
        <v>-17194.263402914446</v>
      </c>
      <c r="L58" s="30">
        <f t="shared" si="36"/>
        <v>-17387.706784906029</v>
      </c>
      <c r="M58" s="30">
        <f t="shared" si="36"/>
        <v>-17584.875710577151</v>
      </c>
      <c r="N58" s="30">
        <f t="shared" si="36"/>
        <v>-17785.841930512219</v>
      </c>
      <c r="O58" s="30">
        <f t="shared" si="36"/>
        <v>-17990.678577146675</v>
      </c>
      <c r="P58" s="30">
        <f t="shared" si="36"/>
        <v>-18199.460191380174</v>
      </c>
      <c r="Q58" s="30">
        <f t="shared" si="36"/>
        <v>-18412.262749702346</v>
      </c>
      <c r="R58" s="30">
        <f t="shared" si="36"/>
        <v>-18629.163691840931</v>
      </c>
      <c r="S58" s="30">
        <f t="shared" si="36"/>
        <v>-18850.241948942428</v>
      </c>
      <c r="T58" s="30">
        <f t="shared" si="36"/>
        <v>-19075.577972295468</v>
      </c>
      <c r="U58" s="30">
        <f t="shared" si="36"/>
        <v>-19305.253762607361</v>
      </c>
      <c r="V58" s="30">
        <f t="shared" si="36"/>
        <v>-19539.352899844482</v>
      </c>
      <c r="W58" s="30">
        <f t="shared" si="36"/>
        <v>-19777.960573647397</v>
      </c>
      <c r="X58" s="30">
        <f t="shared" si="36"/>
        <v>-20021.163614331686</v>
      </c>
    </row>
    <row r="59" spans="1:25" x14ac:dyDescent="0.35">
      <c r="B59" s="4" t="s">
        <v>34</v>
      </c>
      <c r="C59" s="31"/>
      <c r="D59" s="4"/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</row>
    <row r="60" spans="1:25" x14ac:dyDescent="0.35">
      <c r="B60" s="10" t="s">
        <v>35</v>
      </c>
      <c r="C60" s="26"/>
      <c r="D60" s="9"/>
      <c r="E60" s="26">
        <f>E58+E59</f>
        <v>-3876.3315219047618</v>
      </c>
      <c r="F60" s="26">
        <f t="shared" ref="F60:X60" si="37">F58+F59</f>
        <v>-16280.511858473401</v>
      </c>
      <c r="G60" s="26">
        <f t="shared" si="37"/>
        <v>-16456.35721640227</v>
      </c>
      <c r="H60" s="26">
        <f t="shared" si="37"/>
        <v>-16635.589196065437</v>
      </c>
      <c r="I60" s="26">
        <f t="shared" si="37"/>
        <v>-16818.273020718752</v>
      </c>
      <c r="J60" s="26">
        <f t="shared" si="37"/>
        <v>-17004.475169758683</v>
      </c>
      <c r="K60" s="26">
        <f t="shared" si="37"/>
        <v>-17194.263402914446</v>
      </c>
      <c r="L60" s="26">
        <f t="shared" si="37"/>
        <v>-17387.706784906029</v>
      </c>
      <c r="M60" s="26">
        <f t="shared" si="37"/>
        <v>-17584.875710577151</v>
      </c>
      <c r="N60" s="26">
        <f t="shared" si="37"/>
        <v>-17785.841930512219</v>
      </c>
      <c r="O60" s="26">
        <f t="shared" si="37"/>
        <v>-17990.678577146675</v>
      </c>
      <c r="P60" s="26">
        <f t="shared" si="37"/>
        <v>-18199.460191380174</v>
      </c>
      <c r="Q60" s="26">
        <f t="shared" si="37"/>
        <v>-18412.262749702346</v>
      </c>
      <c r="R60" s="26">
        <f t="shared" si="37"/>
        <v>-18629.163691840931</v>
      </c>
      <c r="S60" s="26">
        <f t="shared" si="37"/>
        <v>-18850.241948942428</v>
      </c>
      <c r="T60" s="26">
        <f t="shared" si="37"/>
        <v>-19075.577972295468</v>
      </c>
      <c r="U60" s="26">
        <f t="shared" si="37"/>
        <v>-19305.253762607361</v>
      </c>
      <c r="V60" s="26">
        <f t="shared" si="37"/>
        <v>-19539.352899844482</v>
      </c>
      <c r="W60" s="26">
        <f t="shared" si="37"/>
        <v>-19777.960573647397</v>
      </c>
      <c r="X60" s="26">
        <f t="shared" si="37"/>
        <v>-20021.163614331686</v>
      </c>
    </row>
    <row r="61" spans="1:25" x14ac:dyDescent="0.35">
      <c r="B61" s="2"/>
      <c r="C61" s="30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</row>
    <row r="62" spans="1:25" x14ac:dyDescent="0.35">
      <c r="B62" s="97" t="s">
        <v>36</v>
      </c>
      <c r="C62" s="97">
        <f>C51</f>
        <v>2023</v>
      </c>
      <c r="D62" s="97">
        <f t="shared" ref="D62:X62" si="38">D51</f>
        <v>2024</v>
      </c>
      <c r="E62" s="97">
        <f t="shared" si="38"/>
        <v>2025</v>
      </c>
      <c r="F62" s="97">
        <f t="shared" si="38"/>
        <v>2026</v>
      </c>
      <c r="G62" s="97">
        <f t="shared" si="38"/>
        <v>2027</v>
      </c>
      <c r="H62" s="97">
        <f t="shared" si="38"/>
        <v>2028</v>
      </c>
      <c r="I62" s="97">
        <f t="shared" si="38"/>
        <v>2029</v>
      </c>
      <c r="J62" s="97">
        <f t="shared" si="38"/>
        <v>2030</v>
      </c>
      <c r="K62" s="97">
        <f t="shared" si="38"/>
        <v>2031</v>
      </c>
      <c r="L62" s="97">
        <f t="shared" si="38"/>
        <v>2032</v>
      </c>
      <c r="M62" s="97">
        <f t="shared" si="38"/>
        <v>2033</v>
      </c>
      <c r="N62" s="97">
        <f t="shared" si="38"/>
        <v>2034</v>
      </c>
      <c r="O62" s="97">
        <f t="shared" si="38"/>
        <v>2035</v>
      </c>
      <c r="P62" s="97">
        <f t="shared" si="38"/>
        <v>2036</v>
      </c>
      <c r="Q62" s="97">
        <f t="shared" si="38"/>
        <v>2037</v>
      </c>
      <c r="R62" s="97">
        <f t="shared" si="38"/>
        <v>2038</v>
      </c>
      <c r="S62" s="97">
        <f t="shared" si="38"/>
        <v>2039</v>
      </c>
      <c r="T62" s="97">
        <f t="shared" si="38"/>
        <v>2040</v>
      </c>
      <c r="U62" s="97">
        <f t="shared" si="38"/>
        <v>2041</v>
      </c>
      <c r="V62" s="97">
        <f t="shared" si="38"/>
        <v>2042</v>
      </c>
      <c r="W62" s="97">
        <f t="shared" si="38"/>
        <v>2043</v>
      </c>
      <c r="X62" s="97">
        <f t="shared" si="38"/>
        <v>2044</v>
      </c>
    </row>
    <row r="63" spans="1:25" x14ac:dyDescent="0.35">
      <c r="B63" t="s">
        <v>33</v>
      </c>
      <c r="C63" s="30"/>
      <c r="D63" s="32"/>
      <c r="E63" s="32">
        <f>E58</f>
        <v>-3876.3315219047618</v>
      </c>
      <c r="F63" s="32">
        <f t="shared" ref="F63:X63" si="39">F58</f>
        <v>-16280.511858473401</v>
      </c>
      <c r="G63" s="32">
        <f t="shared" si="39"/>
        <v>-16456.35721640227</v>
      </c>
      <c r="H63" s="32">
        <f t="shared" si="39"/>
        <v>-16635.589196065437</v>
      </c>
      <c r="I63" s="32">
        <f t="shared" si="39"/>
        <v>-16818.273020718752</v>
      </c>
      <c r="J63" s="32">
        <f t="shared" si="39"/>
        <v>-17004.475169758683</v>
      </c>
      <c r="K63" s="32">
        <f t="shared" si="39"/>
        <v>-17194.263402914446</v>
      </c>
      <c r="L63" s="32">
        <f t="shared" si="39"/>
        <v>-17387.706784906029</v>
      </c>
      <c r="M63" s="32">
        <f t="shared" si="39"/>
        <v>-17584.875710577151</v>
      </c>
      <c r="N63" s="32">
        <f t="shared" si="39"/>
        <v>-17785.841930512219</v>
      </c>
      <c r="O63" s="32">
        <f t="shared" si="39"/>
        <v>-17990.678577146675</v>
      </c>
      <c r="P63" s="32">
        <f t="shared" si="39"/>
        <v>-18199.460191380174</v>
      </c>
      <c r="Q63" s="32">
        <f t="shared" si="39"/>
        <v>-18412.262749702346</v>
      </c>
      <c r="R63" s="32">
        <f t="shared" si="39"/>
        <v>-18629.163691840931</v>
      </c>
      <c r="S63" s="32">
        <f t="shared" si="39"/>
        <v>-18850.241948942428</v>
      </c>
      <c r="T63" s="32">
        <f t="shared" si="39"/>
        <v>-19075.577972295468</v>
      </c>
      <c r="U63" s="32">
        <f t="shared" si="39"/>
        <v>-19305.253762607361</v>
      </c>
      <c r="V63" s="32">
        <f t="shared" si="39"/>
        <v>-19539.352899844482</v>
      </c>
      <c r="W63" s="32">
        <f t="shared" si="39"/>
        <v>-19777.960573647397</v>
      </c>
      <c r="X63" s="32">
        <f t="shared" si="39"/>
        <v>-20021.163614331686</v>
      </c>
    </row>
    <row r="64" spans="1:25" x14ac:dyDescent="0.35">
      <c r="B64" t="s">
        <v>32</v>
      </c>
      <c r="C64" s="30"/>
      <c r="D64" s="32"/>
      <c r="E64" s="32">
        <f>-E57</f>
        <v>2383.3333333333335</v>
      </c>
      <c r="F64" s="32">
        <f>-F57</f>
        <v>7150</v>
      </c>
      <c r="G64" s="32">
        <f t="shared" ref="G64:X64" si="40">-G57</f>
        <v>7150</v>
      </c>
      <c r="H64" s="32">
        <f t="shared" si="40"/>
        <v>7150</v>
      </c>
      <c r="I64" s="32">
        <f t="shared" si="40"/>
        <v>7150</v>
      </c>
      <c r="J64" s="32">
        <f t="shared" si="40"/>
        <v>7150</v>
      </c>
      <c r="K64" s="32">
        <f t="shared" si="40"/>
        <v>7150</v>
      </c>
      <c r="L64" s="32">
        <f t="shared" si="40"/>
        <v>7150</v>
      </c>
      <c r="M64" s="32">
        <f t="shared" si="40"/>
        <v>7150</v>
      </c>
      <c r="N64" s="32">
        <f t="shared" si="40"/>
        <v>7150</v>
      </c>
      <c r="O64" s="32">
        <f t="shared" si="40"/>
        <v>7150</v>
      </c>
      <c r="P64" s="32">
        <f t="shared" si="40"/>
        <v>7150</v>
      </c>
      <c r="Q64" s="32">
        <f t="shared" si="40"/>
        <v>7150</v>
      </c>
      <c r="R64" s="32">
        <f t="shared" si="40"/>
        <v>7150</v>
      </c>
      <c r="S64" s="32">
        <f t="shared" si="40"/>
        <v>7150</v>
      </c>
      <c r="T64" s="32">
        <f t="shared" si="40"/>
        <v>7150</v>
      </c>
      <c r="U64" s="32">
        <f t="shared" si="40"/>
        <v>7150</v>
      </c>
      <c r="V64" s="32">
        <f t="shared" si="40"/>
        <v>7150</v>
      </c>
      <c r="W64" s="32">
        <f t="shared" si="40"/>
        <v>7150</v>
      </c>
      <c r="X64" s="32">
        <f t="shared" si="40"/>
        <v>7150</v>
      </c>
    </row>
    <row r="65" spans="1:24" x14ac:dyDescent="0.35">
      <c r="B65" s="2" t="s">
        <v>38</v>
      </c>
      <c r="C65" s="30"/>
      <c r="D65" s="32"/>
      <c r="E65" s="32">
        <f>SUM(E63:E64)</f>
        <v>-1492.9981885714283</v>
      </c>
      <c r="F65" s="32">
        <f t="shared" ref="F65:X65" si="41">SUM(F63:F64)</f>
        <v>-9130.5118584734009</v>
      </c>
      <c r="G65" s="32">
        <f t="shared" si="41"/>
        <v>-9306.3572164022698</v>
      </c>
      <c r="H65" s="32">
        <f t="shared" si="41"/>
        <v>-9485.5891960654371</v>
      </c>
      <c r="I65" s="32">
        <f t="shared" si="41"/>
        <v>-9668.2730207187524</v>
      </c>
      <c r="J65" s="32">
        <f t="shared" si="41"/>
        <v>-9854.4751697586835</v>
      </c>
      <c r="K65" s="32">
        <f t="shared" si="41"/>
        <v>-10044.263402914446</v>
      </c>
      <c r="L65" s="32">
        <f t="shared" si="41"/>
        <v>-10237.706784906029</v>
      </c>
      <c r="M65" s="32">
        <f t="shared" si="41"/>
        <v>-10434.875710577151</v>
      </c>
      <c r="N65" s="32">
        <f t="shared" si="41"/>
        <v>-10635.841930512219</v>
      </c>
      <c r="O65" s="32">
        <f t="shared" si="41"/>
        <v>-10840.678577146675</v>
      </c>
      <c r="P65" s="32">
        <f t="shared" si="41"/>
        <v>-11049.460191380174</v>
      </c>
      <c r="Q65" s="32">
        <f t="shared" si="41"/>
        <v>-11262.262749702346</v>
      </c>
      <c r="R65" s="32">
        <f t="shared" si="41"/>
        <v>-11479.163691840931</v>
      </c>
      <c r="S65" s="32">
        <f t="shared" si="41"/>
        <v>-11700.241948942428</v>
      </c>
      <c r="T65" s="32">
        <f t="shared" si="41"/>
        <v>-11925.577972295468</v>
      </c>
      <c r="U65" s="32">
        <f t="shared" si="41"/>
        <v>-12155.253762607361</v>
      </c>
      <c r="V65" s="32">
        <f t="shared" si="41"/>
        <v>-12389.352899844482</v>
      </c>
      <c r="W65" s="32">
        <f t="shared" si="41"/>
        <v>-12627.960573647397</v>
      </c>
      <c r="X65" s="32">
        <f t="shared" si="41"/>
        <v>-12871.163614331686</v>
      </c>
    </row>
    <row r="66" spans="1:24" x14ac:dyDescent="0.35">
      <c r="B66" t="s">
        <v>40</v>
      </c>
      <c r="C66" s="32">
        <f>-K10</f>
        <v>0</v>
      </c>
      <c r="D66" s="32">
        <f t="shared" ref="D66:E66" si="42">-L10</f>
        <v>-219600</v>
      </c>
      <c r="E66" s="32">
        <f t="shared" si="42"/>
        <v>0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x14ac:dyDescent="0.35">
      <c r="B67" s="2" t="s">
        <v>41</v>
      </c>
      <c r="C67" s="32">
        <f>C66</f>
        <v>0</v>
      </c>
      <c r="D67" s="32">
        <f>D66</f>
        <v>-219600</v>
      </c>
      <c r="E67" s="32">
        <f t="shared" ref="E67:X67" si="43">E66</f>
        <v>0</v>
      </c>
      <c r="F67" s="32">
        <f t="shared" si="43"/>
        <v>0</v>
      </c>
      <c r="G67" s="32">
        <f t="shared" si="43"/>
        <v>0</v>
      </c>
      <c r="H67" s="32">
        <f t="shared" si="43"/>
        <v>0</v>
      </c>
      <c r="I67" s="32">
        <f t="shared" si="43"/>
        <v>0</v>
      </c>
      <c r="J67" s="32">
        <f t="shared" si="43"/>
        <v>0</v>
      </c>
      <c r="K67" s="32">
        <f t="shared" si="43"/>
        <v>0</v>
      </c>
      <c r="L67" s="32">
        <f t="shared" si="43"/>
        <v>0</v>
      </c>
      <c r="M67" s="32">
        <f t="shared" si="43"/>
        <v>0</v>
      </c>
      <c r="N67" s="32">
        <f t="shared" si="43"/>
        <v>0</v>
      </c>
      <c r="O67" s="32">
        <f t="shared" si="43"/>
        <v>0</v>
      </c>
      <c r="P67" s="32">
        <f t="shared" si="43"/>
        <v>0</v>
      </c>
      <c r="Q67" s="32">
        <f t="shared" si="43"/>
        <v>0</v>
      </c>
      <c r="R67" s="32">
        <f t="shared" si="43"/>
        <v>0</v>
      </c>
      <c r="S67" s="32">
        <f t="shared" si="43"/>
        <v>0</v>
      </c>
      <c r="T67" s="32">
        <f t="shared" si="43"/>
        <v>0</v>
      </c>
      <c r="U67" s="32">
        <f t="shared" si="43"/>
        <v>0</v>
      </c>
      <c r="V67" s="32">
        <f t="shared" si="43"/>
        <v>0</v>
      </c>
      <c r="W67" s="32">
        <f t="shared" si="43"/>
        <v>0</v>
      </c>
      <c r="X67" s="32">
        <f t="shared" si="43"/>
        <v>0</v>
      </c>
    </row>
    <row r="68" spans="1:24" x14ac:dyDescent="0.35">
      <c r="B68" t="s">
        <v>42</v>
      </c>
      <c r="C68" s="30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x14ac:dyDescent="0.35">
      <c r="B69" t="s">
        <v>43</v>
      </c>
      <c r="C69" s="30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x14ac:dyDescent="0.35">
      <c r="B70" t="s">
        <v>109</v>
      </c>
      <c r="C70" s="30">
        <f>K13</f>
        <v>0</v>
      </c>
      <c r="D70" s="30">
        <f t="shared" ref="D70:E70" si="44">L13</f>
        <v>164700</v>
      </c>
      <c r="E70" s="30">
        <f t="shared" si="44"/>
        <v>0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x14ac:dyDescent="0.35">
      <c r="B71" s="2" t="s">
        <v>44</v>
      </c>
      <c r="C71" s="31">
        <f>SUM(C68:C70)</f>
        <v>0</v>
      </c>
      <c r="D71" s="31">
        <f t="shared" ref="D71:X71" si="45">SUM(D68:D70)</f>
        <v>164700</v>
      </c>
      <c r="E71" s="31">
        <f t="shared" si="45"/>
        <v>0</v>
      </c>
      <c r="F71" s="31">
        <f t="shared" si="45"/>
        <v>0</v>
      </c>
      <c r="G71" s="31">
        <f t="shared" si="45"/>
        <v>0</v>
      </c>
      <c r="H71" s="31">
        <f t="shared" si="45"/>
        <v>0</v>
      </c>
      <c r="I71" s="31">
        <f t="shared" si="45"/>
        <v>0</v>
      </c>
      <c r="J71" s="31">
        <f t="shared" si="45"/>
        <v>0</v>
      </c>
      <c r="K71" s="31">
        <f t="shared" si="45"/>
        <v>0</v>
      </c>
      <c r="L71" s="31">
        <f t="shared" si="45"/>
        <v>0</v>
      </c>
      <c r="M71" s="31">
        <f t="shared" si="45"/>
        <v>0</v>
      </c>
      <c r="N71" s="31">
        <f t="shared" si="45"/>
        <v>0</v>
      </c>
      <c r="O71" s="31">
        <f t="shared" si="45"/>
        <v>0</v>
      </c>
      <c r="P71" s="31">
        <f t="shared" si="45"/>
        <v>0</v>
      </c>
      <c r="Q71" s="31">
        <f t="shared" si="45"/>
        <v>0</v>
      </c>
      <c r="R71" s="31">
        <f t="shared" si="45"/>
        <v>0</v>
      </c>
      <c r="S71" s="31">
        <f t="shared" si="45"/>
        <v>0</v>
      </c>
      <c r="T71" s="31">
        <f t="shared" si="45"/>
        <v>0</v>
      </c>
      <c r="U71" s="31">
        <f t="shared" si="45"/>
        <v>0</v>
      </c>
      <c r="V71" s="31">
        <f t="shared" si="45"/>
        <v>0</v>
      </c>
      <c r="W71" s="31">
        <f t="shared" si="45"/>
        <v>0</v>
      </c>
      <c r="X71" s="31">
        <f t="shared" si="45"/>
        <v>0</v>
      </c>
    </row>
    <row r="72" spans="1:24" x14ac:dyDescent="0.35">
      <c r="B72" s="27" t="s">
        <v>45</v>
      </c>
      <c r="C72" s="30">
        <f>C65+C67+C71</f>
        <v>0</v>
      </c>
      <c r="D72" s="30">
        <f t="shared" ref="D72:X72" si="46">D65+D67+D71</f>
        <v>-54900</v>
      </c>
      <c r="E72" s="30">
        <f t="shared" si="46"/>
        <v>-1492.9981885714283</v>
      </c>
      <c r="F72" s="30">
        <f t="shared" si="46"/>
        <v>-9130.5118584734009</v>
      </c>
      <c r="G72" s="30">
        <f t="shared" si="46"/>
        <v>-9306.3572164022698</v>
      </c>
      <c r="H72" s="30">
        <f t="shared" si="46"/>
        <v>-9485.5891960654371</v>
      </c>
      <c r="I72" s="30">
        <f t="shared" si="46"/>
        <v>-9668.2730207187524</v>
      </c>
      <c r="J72" s="30">
        <f t="shared" si="46"/>
        <v>-9854.4751697586835</v>
      </c>
      <c r="K72" s="30">
        <f t="shared" si="46"/>
        <v>-10044.263402914446</v>
      </c>
      <c r="L72" s="30">
        <f t="shared" si="46"/>
        <v>-10237.706784906029</v>
      </c>
      <c r="M72" s="30">
        <f t="shared" si="46"/>
        <v>-10434.875710577151</v>
      </c>
      <c r="N72" s="30">
        <f t="shared" si="46"/>
        <v>-10635.841930512219</v>
      </c>
      <c r="O72" s="30">
        <f t="shared" si="46"/>
        <v>-10840.678577146675</v>
      </c>
      <c r="P72" s="30">
        <f t="shared" si="46"/>
        <v>-11049.460191380174</v>
      </c>
      <c r="Q72" s="30">
        <f t="shared" si="46"/>
        <v>-11262.262749702346</v>
      </c>
      <c r="R72" s="30">
        <f t="shared" si="46"/>
        <v>-11479.163691840931</v>
      </c>
      <c r="S72" s="30">
        <f t="shared" si="46"/>
        <v>-11700.241948942428</v>
      </c>
      <c r="T72" s="30">
        <f t="shared" si="46"/>
        <v>-11925.577972295468</v>
      </c>
      <c r="U72" s="30">
        <f t="shared" si="46"/>
        <v>-12155.253762607361</v>
      </c>
      <c r="V72" s="30">
        <f t="shared" si="46"/>
        <v>-12389.352899844482</v>
      </c>
      <c r="W72" s="30">
        <f t="shared" si="46"/>
        <v>-12627.960573647397</v>
      </c>
      <c r="X72" s="30">
        <f t="shared" si="46"/>
        <v>-12871.163614331686</v>
      </c>
    </row>
    <row r="73" spans="1:24" x14ac:dyDescent="0.35">
      <c r="B73" t="s">
        <v>107</v>
      </c>
      <c r="C73" s="32">
        <v>1</v>
      </c>
      <c r="D73" s="19">
        <v>1</v>
      </c>
      <c r="E73" s="21">
        <f t="shared" ref="E73:X73" si="47">D73/(1+$C$75)</f>
        <v>0.9433700127029061</v>
      </c>
      <c r="F73" s="21">
        <f t="shared" si="47"/>
        <v>0.88994698086708124</v>
      </c>
      <c r="G73" s="21">
        <f t="shared" si="47"/>
        <v>0.83954929464549133</v>
      </c>
      <c r="H73" s="21">
        <f t="shared" si="47"/>
        <v>0.79200562875443303</v>
      </c>
      <c r="I73" s="21">
        <f t="shared" si="47"/>
        <v>0.74715436005884261</v>
      </c>
      <c r="J73" s="21">
        <f t="shared" si="47"/>
        <v>0.70484301813974204</v>
      </c>
      <c r="K73" s="21">
        <f t="shared" si="47"/>
        <v>0.66492776697604306</v>
      </c>
      <c r="L73" s="21">
        <f t="shared" si="47"/>
        <v>0.62727291597870471</v>
      </c>
      <c r="M73" s="21">
        <f t="shared" si="47"/>
        <v>0.59175045871501963</v>
      </c>
      <c r="N73" s="21">
        <f t="shared" si="47"/>
        <v>0.55823963775493857</v>
      </c>
      <c r="O73" s="21">
        <f t="shared" si="47"/>
        <v>0.52662653416014205</v>
      </c>
      <c r="P73" s="21">
        <f t="shared" si="47"/>
        <v>0.4968036802203406</v>
      </c>
      <c r="Q73" s="21">
        <f t="shared" si="47"/>
        <v>0.46866969412031317</v>
      </c>
      <c r="R73" s="21">
        <f t="shared" si="47"/>
        <v>0.44212893529574693</v>
      </c>
      <c r="S73" s="21">
        <f t="shared" si="47"/>
        <v>0.4170911793062711</v>
      </c>
      <c r="T73" s="21">
        <f t="shared" si="47"/>
        <v>0.39347131112042705</v>
      </c>
      <c r="U73" s="21">
        <f t="shared" si="47"/>
        <v>0.37118903576990636</v>
      </c>
      <c r="V73" s="21">
        <f t="shared" si="47"/>
        <v>0.35016860538943601</v>
      </c>
      <c r="W73" s="21">
        <f t="shared" si="47"/>
        <v>0.33033856171439113</v>
      </c>
      <c r="X73" s="21">
        <f t="shared" si="47"/>
        <v>0.31163149316076488</v>
      </c>
    </row>
    <row r="74" spans="1:24" x14ac:dyDescent="0.35">
      <c r="B74" s="2" t="s">
        <v>108</v>
      </c>
      <c r="C74" s="30">
        <f>C72*C73</f>
        <v>0</v>
      </c>
      <c r="D74" s="30">
        <f t="shared" ref="D74:X74" si="48">D72*D73</f>
        <v>-54900</v>
      </c>
      <c r="E74" s="30">
        <f t="shared" si="48"/>
        <v>-1408.4497201180441</v>
      </c>
      <c r="F74" s="30">
        <f t="shared" si="48"/>
        <v>-8125.6714622194859</v>
      </c>
      <c r="G74" s="30">
        <f t="shared" si="48"/>
        <v>-7813.1456367495039</v>
      </c>
      <c r="H74" s="30">
        <f t="shared" si="48"/>
        <v>-7512.6400353360632</v>
      </c>
      <c r="I74" s="30">
        <f t="shared" si="48"/>
        <v>-7223.6923416692925</v>
      </c>
      <c r="J74" s="30">
        <f t="shared" si="48"/>
        <v>-6945.8580208358571</v>
      </c>
      <c r="K74" s="30">
        <f t="shared" si="48"/>
        <v>-6678.7096354190944</v>
      </c>
      <c r="L74" s="30">
        <f t="shared" si="48"/>
        <v>-6421.8361879029753</v>
      </c>
      <c r="M74" s="30">
        <f t="shared" si="48"/>
        <v>-6174.8424883682455</v>
      </c>
      <c r="N74" s="30">
        <f t="shared" si="48"/>
        <v>-5937.3485465079275</v>
      </c>
      <c r="O74" s="30">
        <f t="shared" si="48"/>
        <v>-5708.9889870268535</v>
      </c>
      <c r="P74" s="30">
        <f t="shared" si="48"/>
        <v>-5489.4124875258194</v>
      </c>
      <c r="Q74" s="30">
        <f t="shared" si="48"/>
        <v>-5278.2812380055957</v>
      </c>
      <c r="R74" s="30">
        <f t="shared" si="48"/>
        <v>-5075.2704211592263</v>
      </c>
      <c r="S74" s="30">
        <f t="shared" si="48"/>
        <v>-4880.0677126531009</v>
      </c>
      <c r="T74" s="30">
        <f t="shared" si="48"/>
        <v>-4692.3728006279816</v>
      </c>
      <c r="U74" s="30">
        <f t="shared" si="48"/>
        <v>-4511.8969236807525</v>
      </c>
      <c r="V74" s="30">
        <f t="shared" si="48"/>
        <v>-4338.3624266161069</v>
      </c>
      <c r="W74" s="30">
        <f t="shared" si="48"/>
        <v>-4171.5023332847186</v>
      </c>
      <c r="X74" s="30">
        <f t="shared" si="48"/>
        <v>-4011.0599358506906</v>
      </c>
    </row>
    <row r="75" spans="1:24" x14ac:dyDescent="0.35">
      <c r="B75" t="s">
        <v>46</v>
      </c>
      <c r="C75" s="98">
        <f>Eeldused!D8</f>
        <v>6.0029454545454497E-2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</row>
    <row r="76" spans="1:24" x14ac:dyDescent="0.35">
      <c r="B76" s="10" t="s">
        <v>48</v>
      </c>
      <c r="C76" s="26" t="e">
        <f>IRR(C72:X72)</f>
        <v>#NUM!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</row>
    <row r="77" spans="1:24" x14ac:dyDescent="0.35">
      <c r="B77" s="10" t="s">
        <v>47</v>
      </c>
      <c r="C77" s="26">
        <f>SUM(C74:X74)</f>
        <v>-167299.40934155733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</row>
    <row r="80" spans="1:24" x14ac:dyDescent="0.35">
      <c r="A80" t="s">
        <v>153</v>
      </c>
      <c r="B80" s="97" t="s">
        <v>6</v>
      </c>
      <c r="C80" s="97">
        <f t="shared" ref="C80:X80" si="49">C19</f>
        <v>2023</v>
      </c>
      <c r="D80" s="97">
        <f t="shared" si="49"/>
        <v>2024</v>
      </c>
      <c r="E80" s="97">
        <f t="shared" si="49"/>
        <v>2025</v>
      </c>
      <c r="F80" s="97">
        <f t="shared" si="49"/>
        <v>2026</v>
      </c>
      <c r="G80" s="97">
        <f t="shared" si="49"/>
        <v>2027</v>
      </c>
      <c r="H80" s="97">
        <f t="shared" si="49"/>
        <v>2028</v>
      </c>
      <c r="I80" s="97">
        <f t="shared" si="49"/>
        <v>2029</v>
      </c>
      <c r="J80" s="97">
        <f t="shared" si="49"/>
        <v>2030</v>
      </c>
      <c r="K80" s="97">
        <f t="shared" si="49"/>
        <v>2031</v>
      </c>
      <c r="L80" s="97">
        <f t="shared" si="49"/>
        <v>2032</v>
      </c>
      <c r="M80" s="97">
        <f t="shared" si="49"/>
        <v>2033</v>
      </c>
      <c r="N80" s="97">
        <f t="shared" si="49"/>
        <v>2034</v>
      </c>
      <c r="O80" s="97">
        <f t="shared" si="49"/>
        <v>2035</v>
      </c>
      <c r="P80" s="97">
        <f t="shared" si="49"/>
        <v>2036</v>
      </c>
      <c r="Q80" s="97">
        <f t="shared" si="49"/>
        <v>2037</v>
      </c>
      <c r="R80" s="97">
        <f t="shared" si="49"/>
        <v>2038</v>
      </c>
      <c r="S80" s="97">
        <f t="shared" si="49"/>
        <v>2039</v>
      </c>
      <c r="T80" s="97">
        <f t="shared" si="49"/>
        <v>2040</v>
      </c>
      <c r="U80" s="97">
        <f t="shared" si="49"/>
        <v>2041</v>
      </c>
      <c r="V80" s="97">
        <f t="shared" si="49"/>
        <v>2042</v>
      </c>
      <c r="W80" s="97">
        <f t="shared" si="49"/>
        <v>2043</v>
      </c>
      <c r="X80" s="97">
        <f t="shared" si="49"/>
        <v>2044</v>
      </c>
    </row>
    <row r="81" spans="2:24" x14ac:dyDescent="0.35">
      <c r="B81" s="2" t="s">
        <v>29</v>
      </c>
      <c r="C81" s="2"/>
      <c r="D81" s="2"/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</row>
    <row r="82" spans="2:24" x14ac:dyDescent="0.35">
      <c r="B82" t="s">
        <v>68</v>
      </c>
      <c r="E82" s="32">
        <f>F82*0.5</f>
        <v>15</v>
      </c>
      <c r="F82" s="32">
        <f>Eeldused!D36</f>
        <v>30</v>
      </c>
      <c r="G82" s="32">
        <f t="shared" ref="G82:X82" si="50">F82</f>
        <v>30</v>
      </c>
      <c r="H82" s="32">
        <f t="shared" si="50"/>
        <v>30</v>
      </c>
      <c r="I82" s="32">
        <f t="shared" si="50"/>
        <v>30</v>
      </c>
      <c r="J82" s="32">
        <f t="shared" si="50"/>
        <v>30</v>
      </c>
      <c r="K82" s="32">
        <f t="shared" si="50"/>
        <v>30</v>
      </c>
      <c r="L82" s="32">
        <f t="shared" si="50"/>
        <v>30</v>
      </c>
      <c r="M82" s="32">
        <f t="shared" si="50"/>
        <v>30</v>
      </c>
      <c r="N82" s="32">
        <f t="shared" si="50"/>
        <v>30</v>
      </c>
      <c r="O82" s="32">
        <f t="shared" si="50"/>
        <v>30</v>
      </c>
      <c r="P82" s="32">
        <f t="shared" si="50"/>
        <v>30</v>
      </c>
      <c r="Q82" s="32">
        <f t="shared" si="50"/>
        <v>30</v>
      </c>
      <c r="R82" s="32">
        <f t="shared" si="50"/>
        <v>30</v>
      </c>
      <c r="S82" s="32">
        <f t="shared" si="50"/>
        <v>30</v>
      </c>
      <c r="T82" s="32">
        <f t="shared" si="50"/>
        <v>30</v>
      </c>
      <c r="U82" s="32">
        <f t="shared" si="50"/>
        <v>30</v>
      </c>
      <c r="V82" s="32">
        <f t="shared" si="50"/>
        <v>30</v>
      </c>
      <c r="W82" s="32">
        <f t="shared" si="50"/>
        <v>30</v>
      </c>
      <c r="X82" s="32">
        <f t="shared" si="50"/>
        <v>30</v>
      </c>
    </row>
    <row r="83" spans="2:24" x14ac:dyDescent="0.35">
      <c r="B83" t="s">
        <v>69</v>
      </c>
      <c r="E83" s="32">
        <f>-Eeldused!D37*4</f>
        <v>-960</v>
      </c>
      <c r="F83" s="32">
        <f>-Eeldused!D37*12*(1+Eeldused!$D$4)</f>
        <v>-2935.4661818181817</v>
      </c>
      <c r="G83" s="32">
        <f>F83*(1+Eeldused!$D$4)</f>
        <v>-2992.00059187438</v>
      </c>
      <c r="H83" s="32">
        <f>G83*(1+Eeldused!$D$4)</f>
        <v>-3049.6238032733422</v>
      </c>
      <c r="I83" s="32">
        <f>H83*(1+Eeldused!$D$4)</f>
        <v>-3108.356785339111</v>
      </c>
      <c r="J83" s="32">
        <f>I83*(1+Eeldused!$D$4)</f>
        <v>-3168.2209112458463</v>
      </c>
      <c r="K83" s="32">
        <f>J83*(1+Eeldused!$D$4)</f>
        <v>-3229.2379657956126</v>
      </c>
      <c r="L83" s="32">
        <f>K83*(1+Eeldused!$D$4)</f>
        <v>-3291.4301533459579</v>
      </c>
      <c r="M83" s="32">
        <f>L83*(1+Eeldused!$D$4)</f>
        <v>-3354.8201058901705</v>
      </c>
      <c r="N83" s="32">
        <f>M83*(1+Eeldused!$D$4)</f>
        <v>-3419.4308912931551</v>
      </c>
      <c r="O83" s="32">
        <f>N83*(1+Eeldused!$D$4)</f>
        <v>-3485.2860216859235</v>
      </c>
      <c r="P83" s="32">
        <f>O83*(1+Eeldused!$D$4)</f>
        <v>-3552.4094620217561</v>
      </c>
      <c r="Q83" s="32">
        <f>P83*(1+Eeldused!$D$4)</f>
        <v>-3620.8256387971473</v>
      </c>
      <c r="R83" s="32">
        <f>Q83*(1+Eeldused!$D$4)</f>
        <v>-3690.5594489407085</v>
      </c>
      <c r="S83" s="32">
        <f>R83*(1+Eeldused!$D$4)</f>
        <v>-3761.636268873262</v>
      </c>
      <c r="T83" s="32">
        <f>S83*(1+Eeldused!$D$4)</f>
        <v>-3834.0819637424256</v>
      </c>
      <c r="U83" s="32">
        <f>T83*(1+Eeldused!$D$4)</f>
        <v>-3907.9228968350467</v>
      </c>
      <c r="V83" s="32">
        <f>U83*(1+Eeldused!$D$4)</f>
        <v>-3983.1859391709104</v>
      </c>
      <c r="W83" s="32">
        <f>V83*(1+Eeldused!$D$4)</f>
        <v>-4059.8984792812153</v>
      </c>
      <c r="X83" s="32">
        <f>W83*(1+Eeldused!$D$4)</f>
        <v>-4138.0884331753714</v>
      </c>
    </row>
    <row r="84" spans="2:24" x14ac:dyDescent="0.35">
      <c r="B84" s="3" t="s">
        <v>30</v>
      </c>
      <c r="C84" s="3"/>
      <c r="D84" s="3"/>
      <c r="E84" s="31">
        <f>E82*E83</f>
        <v>-14400</v>
      </c>
      <c r="F84" s="31">
        <f>F82*F83</f>
        <v>-88063.985454545444</v>
      </c>
      <c r="G84" s="31">
        <f t="shared" ref="G84:X84" si="51">G82*G83</f>
        <v>-89760.017756231406</v>
      </c>
      <c r="H84" s="31">
        <f t="shared" si="51"/>
        <v>-91488.71409820026</v>
      </c>
      <c r="I84" s="31">
        <f t="shared" si="51"/>
        <v>-93250.703560173322</v>
      </c>
      <c r="J84" s="31">
        <f t="shared" si="51"/>
        <v>-95046.627337375394</v>
      </c>
      <c r="K84" s="31">
        <f t="shared" si="51"/>
        <v>-96877.138973868379</v>
      </c>
      <c r="L84" s="31">
        <f t="shared" si="51"/>
        <v>-98742.904600378737</v>
      </c>
      <c r="M84" s="31">
        <f t="shared" si="51"/>
        <v>-100644.60317670512</v>
      </c>
      <c r="N84" s="31">
        <f t="shared" si="51"/>
        <v>-102582.92673879466</v>
      </c>
      <c r="O84" s="31">
        <f t="shared" si="51"/>
        <v>-104558.5806505777</v>
      </c>
      <c r="P84" s="31">
        <f t="shared" si="51"/>
        <v>-106572.28386065268</v>
      </c>
      <c r="Q84" s="31">
        <f t="shared" si="51"/>
        <v>-108624.76916391442</v>
      </c>
      <c r="R84" s="31">
        <f t="shared" si="51"/>
        <v>-110716.78346822126</v>
      </c>
      <c r="S84" s="31">
        <f t="shared" si="51"/>
        <v>-112849.08806619786</v>
      </c>
      <c r="T84" s="31">
        <f t="shared" si="51"/>
        <v>-115022.45891227276</v>
      </c>
      <c r="U84" s="31">
        <f t="shared" si="51"/>
        <v>-117237.68690505141</v>
      </c>
      <c r="V84" s="31">
        <f t="shared" si="51"/>
        <v>-119495.57817512732</v>
      </c>
      <c r="W84" s="31">
        <f t="shared" si="51"/>
        <v>-121796.95437843647</v>
      </c>
      <c r="X84" s="31">
        <f t="shared" si="51"/>
        <v>-124142.65299526115</v>
      </c>
    </row>
    <row r="85" spans="2:24" x14ac:dyDescent="0.35">
      <c r="B85" s="2" t="s">
        <v>31</v>
      </c>
      <c r="C85" s="2"/>
      <c r="D85" s="2"/>
      <c r="E85" s="30">
        <f>E81+E84</f>
        <v>-14400</v>
      </c>
      <c r="F85" s="30">
        <f t="shared" ref="F85:X85" si="52">F81+F84</f>
        <v>-88063.985454545444</v>
      </c>
      <c r="G85" s="30">
        <f t="shared" si="52"/>
        <v>-89760.017756231406</v>
      </c>
      <c r="H85" s="30">
        <f t="shared" si="52"/>
        <v>-91488.71409820026</v>
      </c>
      <c r="I85" s="30">
        <f t="shared" si="52"/>
        <v>-93250.703560173322</v>
      </c>
      <c r="J85" s="30">
        <f t="shared" si="52"/>
        <v>-95046.627337375394</v>
      </c>
      <c r="K85" s="30">
        <f t="shared" si="52"/>
        <v>-96877.138973868379</v>
      </c>
      <c r="L85" s="30">
        <f t="shared" si="52"/>
        <v>-98742.904600378737</v>
      </c>
      <c r="M85" s="30">
        <f t="shared" si="52"/>
        <v>-100644.60317670512</v>
      </c>
      <c r="N85" s="30">
        <f t="shared" si="52"/>
        <v>-102582.92673879466</v>
      </c>
      <c r="O85" s="30">
        <f t="shared" si="52"/>
        <v>-104558.5806505777</v>
      </c>
      <c r="P85" s="30">
        <f t="shared" si="52"/>
        <v>-106572.28386065268</v>
      </c>
      <c r="Q85" s="30">
        <f t="shared" si="52"/>
        <v>-108624.76916391442</v>
      </c>
      <c r="R85" s="30">
        <f t="shared" si="52"/>
        <v>-110716.78346822126</v>
      </c>
      <c r="S85" s="30">
        <f t="shared" si="52"/>
        <v>-112849.08806619786</v>
      </c>
      <c r="T85" s="30">
        <f t="shared" si="52"/>
        <v>-115022.45891227276</v>
      </c>
      <c r="U85" s="30">
        <f t="shared" si="52"/>
        <v>-117237.68690505141</v>
      </c>
      <c r="V85" s="30">
        <f t="shared" si="52"/>
        <v>-119495.57817512732</v>
      </c>
      <c r="W85" s="30">
        <f t="shared" si="52"/>
        <v>-121796.95437843647</v>
      </c>
      <c r="X85" s="30">
        <f t="shared" si="52"/>
        <v>-124142.65299526115</v>
      </c>
    </row>
    <row r="86" spans="2:24" x14ac:dyDescent="0.35">
      <c r="B86" t="s">
        <v>32</v>
      </c>
      <c r="E86" s="32">
        <v>0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32">
        <v>0</v>
      </c>
      <c r="R86" s="32">
        <v>0</v>
      </c>
      <c r="S86" s="32">
        <v>0</v>
      </c>
      <c r="T86" s="32">
        <v>0</v>
      </c>
      <c r="U86" s="32">
        <v>0</v>
      </c>
      <c r="V86" s="32">
        <v>0</v>
      </c>
      <c r="W86" s="32">
        <v>0</v>
      </c>
      <c r="X86" s="32">
        <v>0</v>
      </c>
    </row>
    <row r="87" spans="2:24" x14ac:dyDescent="0.35">
      <c r="B87" s="2" t="s">
        <v>33</v>
      </c>
      <c r="C87" s="2"/>
      <c r="D87" s="2"/>
      <c r="E87" s="30">
        <f>E85+E86</f>
        <v>-14400</v>
      </c>
      <c r="F87" s="30">
        <f t="shared" ref="F87:X87" si="53">F85+F86</f>
        <v>-88063.985454545444</v>
      </c>
      <c r="G87" s="30">
        <f t="shared" si="53"/>
        <v>-89760.017756231406</v>
      </c>
      <c r="H87" s="30">
        <f t="shared" si="53"/>
        <v>-91488.71409820026</v>
      </c>
      <c r="I87" s="30">
        <f t="shared" si="53"/>
        <v>-93250.703560173322</v>
      </c>
      <c r="J87" s="30">
        <f t="shared" si="53"/>
        <v>-95046.627337375394</v>
      </c>
      <c r="K87" s="30">
        <f t="shared" si="53"/>
        <v>-96877.138973868379</v>
      </c>
      <c r="L87" s="30">
        <f t="shared" si="53"/>
        <v>-98742.904600378737</v>
      </c>
      <c r="M87" s="30">
        <f t="shared" si="53"/>
        <v>-100644.60317670512</v>
      </c>
      <c r="N87" s="30">
        <f t="shared" si="53"/>
        <v>-102582.92673879466</v>
      </c>
      <c r="O87" s="30">
        <f t="shared" si="53"/>
        <v>-104558.5806505777</v>
      </c>
      <c r="P87" s="30">
        <f t="shared" si="53"/>
        <v>-106572.28386065268</v>
      </c>
      <c r="Q87" s="30">
        <f t="shared" si="53"/>
        <v>-108624.76916391442</v>
      </c>
      <c r="R87" s="30">
        <f t="shared" si="53"/>
        <v>-110716.78346822126</v>
      </c>
      <c r="S87" s="30">
        <f t="shared" si="53"/>
        <v>-112849.08806619786</v>
      </c>
      <c r="T87" s="30">
        <f t="shared" si="53"/>
        <v>-115022.45891227276</v>
      </c>
      <c r="U87" s="30">
        <f t="shared" si="53"/>
        <v>-117237.68690505141</v>
      </c>
      <c r="V87" s="30">
        <f t="shared" si="53"/>
        <v>-119495.57817512732</v>
      </c>
      <c r="W87" s="30">
        <f t="shared" si="53"/>
        <v>-121796.95437843647</v>
      </c>
      <c r="X87" s="30">
        <f t="shared" si="53"/>
        <v>-124142.65299526115</v>
      </c>
    </row>
    <row r="88" spans="2:24" x14ac:dyDescent="0.35">
      <c r="B88" s="4" t="s">
        <v>34</v>
      </c>
      <c r="C88" s="4"/>
      <c r="D88" s="4"/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</row>
    <row r="89" spans="2:24" x14ac:dyDescent="0.35">
      <c r="B89" s="10" t="s">
        <v>35</v>
      </c>
      <c r="C89" s="10"/>
      <c r="D89" s="10"/>
      <c r="E89" s="26">
        <f>E87+E88</f>
        <v>-14400</v>
      </c>
      <c r="F89" s="26">
        <f t="shared" ref="F89:X89" si="54">F87+F88</f>
        <v>-88063.985454545444</v>
      </c>
      <c r="G89" s="26">
        <f t="shared" si="54"/>
        <v>-89760.017756231406</v>
      </c>
      <c r="H89" s="26">
        <f t="shared" si="54"/>
        <v>-91488.71409820026</v>
      </c>
      <c r="I89" s="26">
        <f t="shared" si="54"/>
        <v>-93250.703560173322</v>
      </c>
      <c r="J89" s="26">
        <f t="shared" si="54"/>
        <v>-95046.627337375394</v>
      </c>
      <c r="K89" s="26">
        <f t="shared" si="54"/>
        <v>-96877.138973868379</v>
      </c>
      <c r="L89" s="26">
        <f t="shared" si="54"/>
        <v>-98742.904600378737</v>
      </c>
      <c r="M89" s="26">
        <f t="shared" si="54"/>
        <v>-100644.60317670512</v>
      </c>
      <c r="N89" s="26">
        <f t="shared" si="54"/>
        <v>-102582.92673879466</v>
      </c>
      <c r="O89" s="26">
        <f t="shared" si="54"/>
        <v>-104558.5806505777</v>
      </c>
      <c r="P89" s="26">
        <f t="shared" si="54"/>
        <v>-106572.28386065268</v>
      </c>
      <c r="Q89" s="26">
        <f t="shared" si="54"/>
        <v>-108624.76916391442</v>
      </c>
      <c r="R89" s="26">
        <f t="shared" si="54"/>
        <v>-110716.78346822126</v>
      </c>
      <c r="S89" s="26">
        <f t="shared" si="54"/>
        <v>-112849.08806619786</v>
      </c>
      <c r="T89" s="26">
        <f t="shared" si="54"/>
        <v>-115022.45891227276</v>
      </c>
      <c r="U89" s="26">
        <f t="shared" si="54"/>
        <v>-117237.68690505141</v>
      </c>
      <c r="V89" s="26">
        <f t="shared" si="54"/>
        <v>-119495.57817512732</v>
      </c>
      <c r="W89" s="26">
        <f t="shared" si="54"/>
        <v>-121796.95437843647</v>
      </c>
      <c r="X89" s="26">
        <f t="shared" si="54"/>
        <v>-124142.65299526115</v>
      </c>
    </row>
    <row r="90" spans="2:24" x14ac:dyDescent="0.35"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</row>
    <row r="91" spans="2:24" x14ac:dyDescent="0.35">
      <c r="B91" s="99" t="s">
        <v>36</v>
      </c>
      <c r="C91" s="99">
        <f>C80</f>
        <v>2023</v>
      </c>
      <c r="D91" s="99">
        <f t="shared" ref="D91:X91" si="55">D80</f>
        <v>2024</v>
      </c>
      <c r="E91" s="99">
        <f t="shared" si="55"/>
        <v>2025</v>
      </c>
      <c r="F91" s="99">
        <f t="shared" si="55"/>
        <v>2026</v>
      </c>
      <c r="G91" s="99">
        <f t="shared" si="55"/>
        <v>2027</v>
      </c>
      <c r="H91" s="99">
        <f t="shared" si="55"/>
        <v>2028</v>
      </c>
      <c r="I91" s="99">
        <f t="shared" si="55"/>
        <v>2029</v>
      </c>
      <c r="J91" s="99">
        <f t="shared" si="55"/>
        <v>2030</v>
      </c>
      <c r="K91" s="99">
        <f t="shared" si="55"/>
        <v>2031</v>
      </c>
      <c r="L91" s="99">
        <f t="shared" si="55"/>
        <v>2032</v>
      </c>
      <c r="M91" s="99">
        <f t="shared" si="55"/>
        <v>2033</v>
      </c>
      <c r="N91" s="99">
        <f t="shared" si="55"/>
        <v>2034</v>
      </c>
      <c r="O91" s="99">
        <f t="shared" si="55"/>
        <v>2035</v>
      </c>
      <c r="P91" s="99">
        <f t="shared" si="55"/>
        <v>2036</v>
      </c>
      <c r="Q91" s="99">
        <f t="shared" si="55"/>
        <v>2037</v>
      </c>
      <c r="R91" s="99">
        <f t="shared" si="55"/>
        <v>2038</v>
      </c>
      <c r="S91" s="99">
        <f t="shared" si="55"/>
        <v>2039</v>
      </c>
      <c r="T91" s="99">
        <f t="shared" si="55"/>
        <v>2040</v>
      </c>
      <c r="U91" s="99">
        <f t="shared" si="55"/>
        <v>2041</v>
      </c>
      <c r="V91" s="99">
        <f t="shared" si="55"/>
        <v>2042</v>
      </c>
      <c r="W91" s="99">
        <f t="shared" si="55"/>
        <v>2043</v>
      </c>
      <c r="X91" s="99">
        <f t="shared" si="55"/>
        <v>2044</v>
      </c>
    </row>
    <row r="92" spans="2:24" x14ac:dyDescent="0.35">
      <c r="B92" t="s">
        <v>33</v>
      </c>
      <c r="C92">
        <f t="shared" ref="C92:X92" si="56">C87</f>
        <v>0</v>
      </c>
      <c r="D92">
        <f t="shared" si="56"/>
        <v>0</v>
      </c>
      <c r="E92" s="32">
        <f t="shared" si="56"/>
        <v>-14400</v>
      </c>
      <c r="F92" s="32">
        <f t="shared" si="56"/>
        <v>-88063.985454545444</v>
      </c>
      <c r="G92" s="32">
        <f t="shared" si="56"/>
        <v>-89760.017756231406</v>
      </c>
      <c r="H92" s="32">
        <f t="shared" si="56"/>
        <v>-91488.71409820026</v>
      </c>
      <c r="I92" s="32">
        <f t="shared" si="56"/>
        <v>-93250.703560173322</v>
      </c>
      <c r="J92" s="32">
        <f t="shared" si="56"/>
        <v>-95046.627337375394</v>
      </c>
      <c r="K92" s="32">
        <f t="shared" si="56"/>
        <v>-96877.138973868379</v>
      </c>
      <c r="L92" s="32">
        <f t="shared" si="56"/>
        <v>-98742.904600378737</v>
      </c>
      <c r="M92" s="32">
        <f t="shared" si="56"/>
        <v>-100644.60317670512</v>
      </c>
      <c r="N92" s="32">
        <f t="shared" si="56"/>
        <v>-102582.92673879466</v>
      </c>
      <c r="O92" s="32">
        <f t="shared" si="56"/>
        <v>-104558.5806505777</v>
      </c>
      <c r="P92" s="32">
        <f t="shared" si="56"/>
        <v>-106572.28386065268</v>
      </c>
      <c r="Q92" s="32">
        <f t="shared" si="56"/>
        <v>-108624.76916391442</v>
      </c>
      <c r="R92" s="32">
        <f t="shared" si="56"/>
        <v>-110716.78346822126</v>
      </c>
      <c r="S92" s="32">
        <f t="shared" si="56"/>
        <v>-112849.08806619786</v>
      </c>
      <c r="T92" s="32">
        <f t="shared" si="56"/>
        <v>-115022.45891227276</v>
      </c>
      <c r="U92" s="32">
        <f t="shared" si="56"/>
        <v>-117237.68690505141</v>
      </c>
      <c r="V92" s="32">
        <f t="shared" si="56"/>
        <v>-119495.57817512732</v>
      </c>
      <c r="W92" s="32">
        <f t="shared" si="56"/>
        <v>-121796.95437843647</v>
      </c>
      <c r="X92" s="32">
        <f t="shared" si="56"/>
        <v>-124142.65299526115</v>
      </c>
    </row>
    <row r="93" spans="2:24" x14ac:dyDescent="0.35">
      <c r="B93" t="s">
        <v>32</v>
      </c>
      <c r="C93">
        <f t="shared" ref="C93:X93" si="57">-C86</f>
        <v>0</v>
      </c>
      <c r="D93">
        <f t="shared" si="57"/>
        <v>0</v>
      </c>
      <c r="E93" s="32">
        <f t="shared" si="57"/>
        <v>0</v>
      </c>
      <c r="F93" s="32">
        <f t="shared" si="57"/>
        <v>0</v>
      </c>
      <c r="G93" s="32">
        <f t="shared" si="57"/>
        <v>0</v>
      </c>
      <c r="H93" s="32">
        <f t="shared" si="57"/>
        <v>0</v>
      </c>
      <c r="I93" s="32">
        <f t="shared" si="57"/>
        <v>0</v>
      </c>
      <c r="J93" s="32">
        <f t="shared" si="57"/>
        <v>0</v>
      </c>
      <c r="K93" s="32">
        <f t="shared" si="57"/>
        <v>0</v>
      </c>
      <c r="L93" s="32">
        <f t="shared" si="57"/>
        <v>0</v>
      </c>
      <c r="M93" s="32">
        <f t="shared" si="57"/>
        <v>0</v>
      </c>
      <c r="N93" s="32">
        <f t="shared" si="57"/>
        <v>0</v>
      </c>
      <c r="O93" s="32">
        <f t="shared" si="57"/>
        <v>0</v>
      </c>
      <c r="P93" s="32">
        <f t="shared" si="57"/>
        <v>0</v>
      </c>
      <c r="Q93" s="32">
        <f t="shared" si="57"/>
        <v>0</v>
      </c>
      <c r="R93" s="32">
        <f t="shared" si="57"/>
        <v>0</v>
      </c>
      <c r="S93" s="32">
        <f t="shared" si="57"/>
        <v>0</v>
      </c>
      <c r="T93" s="32">
        <f t="shared" si="57"/>
        <v>0</v>
      </c>
      <c r="U93" s="32">
        <f t="shared" si="57"/>
        <v>0</v>
      </c>
      <c r="V93" s="32">
        <f t="shared" si="57"/>
        <v>0</v>
      </c>
      <c r="W93" s="32">
        <f t="shared" si="57"/>
        <v>0</v>
      </c>
      <c r="X93" s="32">
        <f t="shared" si="57"/>
        <v>0</v>
      </c>
    </row>
    <row r="94" spans="2:24" x14ac:dyDescent="0.35">
      <c r="B94" s="2" t="s">
        <v>38</v>
      </c>
      <c r="C94" s="2">
        <f>SUM(C92:C93)</f>
        <v>0</v>
      </c>
      <c r="D94" s="2">
        <f t="shared" ref="D94:X94" si="58">SUM(D92:D93)</f>
        <v>0</v>
      </c>
      <c r="E94" s="30">
        <f t="shared" si="58"/>
        <v>-14400</v>
      </c>
      <c r="F94" s="30">
        <f t="shared" si="58"/>
        <v>-88063.985454545444</v>
      </c>
      <c r="G94" s="30">
        <f t="shared" si="58"/>
        <v>-89760.017756231406</v>
      </c>
      <c r="H94" s="30">
        <f t="shared" si="58"/>
        <v>-91488.71409820026</v>
      </c>
      <c r="I94" s="30">
        <f t="shared" si="58"/>
        <v>-93250.703560173322</v>
      </c>
      <c r="J94" s="30">
        <f t="shared" si="58"/>
        <v>-95046.627337375394</v>
      </c>
      <c r="K94" s="30">
        <f t="shared" si="58"/>
        <v>-96877.138973868379</v>
      </c>
      <c r="L94" s="30">
        <f t="shared" si="58"/>
        <v>-98742.904600378737</v>
      </c>
      <c r="M94" s="30">
        <f t="shared" si="58"/>
        <v>-100644.60317670512</v>
      </c>
      <c r="N94" s="30">
        <f t="shared" si="58"/>
        <v>-102582.92673879466</v>
      </c>
      <c r="O94" s="30">
        <f t="shared" si="58"/>
        <v>-104558.5806505777</v>
      </c>
      <c r="P94" s="30">
        <f t="shared" si="58"/>
        <v>-106572.28386065268</v>
      </c>
      <c r="Q94" s="30">
        <f t="shared" si="58"/>
        <v>-108624.76916391442</v>
      </c>
      <c r="R94" s="30">
        <f t="shared" si="58"/>
        <v>-110716.78346822126</v>
      </c>
      <c r="S94" s="30">
        <f t="shared" si="58"/>
        <v>-112849.08806619786</v>
      </c>
      <c r="T94" s="30">
        <f t="shared" si="58"/>
        <v>-115022.45891227276</v>
      </c>
      <c r="U94" s="30">
        <f t="shared" si="58"/>
        <v>-117237.68690505141</v>
      </c>
      <c r="V94" s="30">
        <f t="shared" si="58"/>
        <v>-119495.57817512732</v>
      </c>
      <c r="W94" s="30">
        <f t="shared" si="58"/>
        <v>-121796.95437843647</v>
      </c>
      <c r="X94" s="30">
        <f t="shared" si="58"/>
        <v>-124142.65299526115</v>
      </c>
    </row>
    <row r="95" spans="2:24" x14ac:dyDescent="0.35">
      <c r="B95" t="s">
        <v>40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</row>
    <row r="96" spans="2:24" x14ac:dyDescent="0.35">
      <c r="B96" s="2" t="s">
        <v>41</v>
      </c>
      <c r="C96" s="2">
        <f>C95</f>
        <v>0</v>
      </c>
      <c r="D96" s="2">
        <f t="shared" ref="D96:X96" si="59">D95</f>
        <v>0</v>
      </c>
      <c r="E96" s="30">
        <f t="shared" si="59"/>
        <v>0</v>
      </c>
      <c r="F96" s="30">
        <f t="shared" si="59"/>
        <v>0</v>
      </c>
      <c r="G96" s="30">
        <f t="shared" si="59"/>
        <v>0</v>
      </c>
      <c r="H96" s="30">
        <f t="shared" si="59"/>
        <v>0</v>
      </c>
      <c r="I96" s="30">
        <f t="shared" si="59"/>
        <v>0</v>
      </c>
      <c r="J96" s="30">
        <f t="shared" si="59"/>
        <v>0</v>
      </c>
      <c r="K96" s="30">
        <f t="shared" si="59"/>
        <v>0</v>
      </c>
      <c r="L96" s="30">
        <f t="shared" si="59"/>
        <v>0</v>
      </c>
      <c r="M96" s="30">
        <f t="shared" si="59"/>
        <v>0</v>
      </c>
      <c r="N96" s="30">
        <f t="shared" si="59"/>
        <v>0</v>
      </c>
      <c r="O96" s="30">
        <f t="shared" si="59"/>
        <v>0</v>
      </c>
      <c r="P96" s="30">
        <f t="shared" si="59"/>
        <v>0</v>
      </c>
      <c r="Q96" s="30">
        <f t="shared" si="59"/>
        <v>0</v>
      </c>
      <c r="R96" s="30">
        <f t="shared" si="59"/>
        <v>0</v>
      </c>
      <c r="S96" s="30">
        <f t="shared" si="59"/>
        <v>0</v>
      </c>
      <c r="T96" s="30">
        <f t="shared" si="59"/>
        <v>0</v>
      </c>
      <c r="U96" s="30">
        <f t="shared" si="59"/>
        <v>0</v>
      </c>
      <c r="V96" s="30">
        <f t="shared" si="59"/>
        <v>0</v>
      </c>
      <c r="W96" s="30">
        <f t="shared" si="59"/>
        <v>0</v>
      </c>
      <c r="X96" s="30">
        <f t="shared" si="59"/>
        <v>0</v>
      </c>
    </row>
    <row r="97" spans="2:24" x14ac:dyDescent="0.35">
      <c r="B97" t="s">
        <v>42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</row>
    <row r="98" spans="2:24" x14ac:dyDescent="0.35">
      <c r="B98" t="s">
        <v>43</v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</row>
    <row r="99" spans="2:24" x14ac:dyDescent="0.35">
      <c r="B99" t="s">
        <v>148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</row>
    <row r="100" spans="2:24" x14ac:dyDescent="0.35">
      <c r="B100" s="2" t="s">
        <v>44</v>
      </c>
      <c r="C100" s="2">
        <f>SUM(C97:C99)</f>
        <v>0</v>
      </c>
      <c r="D100" s="2">
        <f t="shared" ref="D100:X100" si="60">SUM(D97:D99)</f>
        <v>0</v>
      </c>
      <c r="E100" s="30">
        <f t="shared" si="60"/>
        <v>0</v>
      </c>
      <c r="F100" s="30">
        <f t="shared" si="60"/>
        <v>0</v>
      </c>
      <c r="G100" s="30">
        <f t="shared" si="60"/>
        <v>0</v>
      </c>
      <c r="H100" s="30">
        <f t="shared" si="60"/>
        <v>0</v>
      </c>
      <c r="I100" s="30">
        <f t="shared" si="60"/>
        <v>0</v>
      </c>
      <c r="J100" s="30">
        <f t="shared" si="60"/>
        <v>0</v>
      </c>
      <c r="K100" s="30">
        <f t="shared" si="60"/>
        <v>0</v>
      </c>
      <c r="L100" s="30">
        <f t="shared" si="60"/>
        <v>0</v>
      </c>
      <c r="M100" s="30">
        <f t="shared" si="60"/>
        <v>0</v>
      </c>
      <c r="N100" s="30">
        <f t="shared" si="60"/>
        <v>0</v>
      </c>
      <c r="O100" s="30">
        <f t="shared" si="60"/>
        <v>0</v>
      </c>
      <c r="P100" s="30">
        <f t="shared" si="60"/>
        <v>0</v>
      </c>
      <c r="Q100" s="30">
        <f t="shared" si="60"/>
        <v>0</v>
      </c>
      <c r="R100" s="30">
        <f t="shared" si="60"/>
        <v>0</v>
      </c>
      <c r="S100" s="30">
        <f t="shared" si="60"/>
        <v>0</v>
      </c>
      <c r="T100" s="30">
        <f t="shared" si="60"/>
        <v>0</v>
      </c>
      <c r="U100" s="30">
        <f t="shared" si="60"/>
        <v>0</v>
      </c>
      <c r="V100" s="30">
        <f t="shared" si="60"/>
        <v>0</v>
      </c>
      <c r="W100" s="30">
        <f t="shared" si="60"/>
        <v>0</v>
      </c>
      <c r="X100" s="30">
        <f t="shared" si="60"/>
        <v>0</v>
      </c>
    </row>
    <row r="101" spans="2:24" x14ac:dyDescent="0.35">
      <c r="B101" s="27" t="s">
        <v>45</v>
      </c>
      <c r="C101" s="27">
        <f>C94+C96+C100</f>
        <v>0</v>
      </c>
      <c r="D101" s="27">
        <f t="shared" ref="D101:X101" si="61">D94+D96+D100</f>
        <v>0</v>
      </c>
      <c r="E101" s="34">
        <f t="shared" si="61"/>
        <v>-14400</v>
      </c>
      <c r="F101" s="34">
        <f t="shared" si="61"/>
        <v>-88063.985454545444</v>
      </c>
      <c r="G101" s="34">
        <f t="shared" si="61"/>
        <v>-89760.017756231406</v>
      </c>
      <c r="H101" s="34">
        <f t="shared" si="61"/>
        <v>-91488.71409820026</v>
      </c>
      <c r="I101" s="34">
        <f t="shared" si="61"/>
        <v>-93250.703560173322</v>
      </c>
      <c r="J101" s="34">
        <f t="shared" si="61"/>
        <v>-95046.627337375394</v>
      </c>
      <c r="K101" s="34">
        <f t="shared" si="61"/>
        <v>-96877.138973868379</v>
      </c>
      <c r="L101" s="34">
        <f t="shared" si="61"/>
        <v>-98742.904600378737</v>
      </c>
      <c r="M101" s="34">
        <f t="shared" si="61"/>
        <v>-100644.60317670512</v>
      </c>
      <c r="N101" s="34">
        <f t="shared" si="61"/>
        <v>-102582.92673879466</v>
      </c>
      <c r="O101" s="34">
        <f t="shared" si="61"/>
        <v>-104558.5806505777</v>
      </c>
      <c r="P101" s="34">
        <f t="shared" si="61"/>
        <v>-106572.28386065268</v>
      </c>
      <c r="Q101" s="34">
        <f t="shared" si="61"/>
        <v>-108624.76916391442</v>
      </c>
      <c r="R101" s="34">
        <f t="shared" si="61"/>
        <v>-110716.78346822126</v>
      </c>
      <c r="S101" s="34">
        <f t="shared" si="61"/>
        <v>-112849.08806619786</v>
      </c>
      <c r="T101" s="34">
        <f t="shared" si="61"/>
        <v>-115022.45891227276</v>
      </c>
      <c r="U101" s="34">
        <f t="shared" si="61"/>
        <v>-117237.68690505141</v>
      </c>
      <c r="V101" s="34">
        <f t="shared" si="61"/>
        <v>-119495.57817512732</v>
      </c>
      <c r="W101" s="34">
        <f t="shared" si="61"/>
        <v>-121796.95437843647</v>
      </c>
      <c r="X101" s="34">
        <f t="shared" si="61"/>
        <v>-124142.65299526115</v>
      </c>
    </row>
    <row r="102" spans="2:24" x14ac:dyDescent="0.35">
      <c r="B102" t="s">
        <v>107</v>
      </c>
      <c r="C102">
        <v>1</v>
      </c>
      <c r="D102" s="19">
        <v>1</v>
      </c>
      <c r="E102" s="21">
        <f t="shared" ref="E102:X102" si="62">D102/(1+$C$104)</f>
        <v>0.9433700127029061</v>
      </c>
      <c r="F102" s="21">
        <f t="shared" si="62"/>
        <v>0.88994698086708124</v>
      </c>
      <c r="G102" s="21">
        <f t="shared" si="62"/>
        <v>0.83954929464549133</v>
      </c>
      <c r="H102" s="21">
        <f t="shared" si="62"/>
        <v>0.79200562875443303</v>
      </c>
      <c r="I102" s="21">
        <f t="shared" si="62"/>
        <v>0.74715436005884261</v>
      </c>
      <c r="J102" s="21">
        <f t="shared" si="62"/>
        <v>0.70484301813974204</v>
      </c>
      <c r="K102" s="21">
        <f t="shared" si="62"/>
        <v>0.66492776697604306</v>
      </c>
      <c r="L102" s="21">
        <f t="shared" si="62"/>
        <v>0.62727291597870471</v>
      </c>
      <c r="M102" s="21">
        <f t="shared" si="62"/>
        <v>0.59175045871501963</v>
      </c>
      <c r="N102" s="21">
        <f t="shared" si="62"/>
        <v>0.55823963775493857</v>
      </c>
      <c r="O102" s="21">
        <f t="shared" si="62"/>
        <v>0.52662653416014205</v>
      </c>
      <c r="P102" s="21">
        <f t="shared" si="62"/>
        <v>0.4968036802203406</v>
      </c>
      <c r="Q102" s="21">
        <f t="shared" si="62"/>
        <v>0.46866969412031317</v>
      </c>
      <c r="R102" s="21">
        <f t="shared" si="62"/>
        <v>0.44212893529574693</v>
      </c>
      <c r="S102" s="21">
        <f t="shared" si="62"/>
        <v>0.4170911793062711</v>
      </c>
      <c r="T102" s="21">
        <f t="shared" si="62"/>
        <v>0.39347131112042705</v>
      </c>
      <c r="U102" s="21">
        <f t="shared" si="62"/>
        <v>0.37118903576990636</v>
      </c>
      <c r="V102" s="21">
        <f t="shared" si="62"/>
        <v>0.35016860538943601</v>
      </c>
      <c r="W102" s="21">
        <f t="shared" si="62"/>
        <v>0.33033856171439113</v>
      </c>
      <c r="X102" s="21">
        <f t="shared" si="62"/>
        <v>0.31163149316076488</v>
      </c>
    </row>
    <row r="103" spans="2:24" x14ac:dyDescent="0.35">
      <c r="B103" s="2" t="s">
        <v>108</v>
      </c>
      <c r="C103" s="2">
        <f t="shared" ref="C103:X103" si="63">C101*C102</f>
        <v>0</v>
      </c>
      <c r="D103" s="24">
        <f t="shared" si="63"/>
        <v>0</v>
      </c>
      <c r="E103" s="30">
        <f t="shared" si="63"/>
        <v>-13584.528182921847</v>
      </c>
      <c r="F103" s="30">
        <f t="shared" si="63"/>
        <v>-78372.277978395272</v>
      </c>
      <c r="G103" s="30">
        <f t="shared" si="63"/>
        <v>-75357.95959461086</v>
      </c>
      <c r="H103" s="30">
        <f t="shared" si="63"/>
        <v>-72459.576533279658</v>
      </c>
      <c r="I103" s="30">
        <f t="shared" si="63"/>
        <v>-69672.669743538136</v>
      </c>
      <c r="J103" s="30">
        <f t="shared" si="63"/>
        <v>-66992.951676478988</v>
      </c>
      <c r="K103" s="30">
        <f t="shared" si="63"/>
        <v>-64416.299688922096</v>
      </c>
      <c r="L103" s="30">
        <f t="shared" si="63"/>
        <v>-61938.749700886627</v>
      </c>
      <c r="M103" s="30">
        <f t="shared" si="63"/>
        <v>-59556.490097006375</v>
      </c>
      <c r="N103" s="30">
        <f t="shared" si="63"/>
        <v>-57265.855862506134</v>
      </c>
      <c r="O103" s="30">
        <f t="shared" si="63"/>
        <v>-55063.322944717424</v>
      </c>
      <c r="P103" s="30">
        <f t="shared" si="63"/>
        <v>-52945.50283145906</v>
      </c>
      <c r="Q103" s="30">
        <f t="shared" si="63"/>
        <v>-50909.1373379414</v>
      </c>
      <c r="R103" s="30">
        <f t="shared" si="63"/>
        <v>-48951.093594174417</v>
      </c>
      <c r="S103" s="30">
        <f t="shared" si="63"/>
        <v>-47068.359225167711</v>
      </c>
      <c r="T103" s="30">
        <f t="shared" si="63"/>
        <v>-45258.03771650741</v>
      </c>
      <c r="U103" s="30">
        <f t="shared" si="63"/>
        <v>-43517.343958180209</v>
      </c>
      <c r="V103" s="30">
        <f t="shared" si="63"/>
        <v>-41843.599959788662</v>
      </c>
      <c r="W103" s="30">
        <f t="shared" si="63"/>
        <v>-40234.230730566014</v>
      </c>
      <c r="X103" s="30">
        <f t="shared" si="63"/>
        <v>-38686.760317851935</v>
      </c>
    </row>
    <row r="104" spans="2:24" x14ac:dyDescent="0.35">
      <c r="B104" t="s">
        <v>46</v>
      </c>
      <c r="C104" s="1">
        <f>Eeldused!D8</f>
        <v>6.0029454545454497E-2</v>
      </c>
    </row>
    <row r="105" spans="2:24" x14ac:dyDescent="0.35">
      <c r="B105" s="10" t="s">
        <v>48</v>
      </c>
      <c r="C105" s="25" t="e">
        <f>IRR(C101:X101)</f>
        <v>#NUM!</v>
      </c>
      <c r="E105" s="12"/>
    </row>
    <row r="106" spans="2:24" x14ac:dyDescent="0.35">
      <c r="B106" s="10" t="s">
        <v>47</v>
      </c>
      <c r="C106" s="26">
        <f>SUM(C103:X103)</f>
        <v>-1084094.7476749001</v>
      </c>
      <c r="E106" s="12"/>
    </row>
  </sheetData>
  <mergeCells count="12">
    <mergeCell ref="H16:I16"/>
    <mergeCell ref="H4:I4"/>
    <mergeCell ref="H5:I5"/>
    <mergeCell ref="H6:I6"/>
    <mergeCell ref="H7:I7"/>
    <mergeCell ref="H8:I8"/>
    <mergeCell ref="H9:I9"/>
    <mergeCell ref="H10:I10"/>
    <mergeCell ref="H12:I12"/>
    <mergeCell ref="H13:I13"/>
    <mergeCell ref="H14:I14"/>
    <mergeCell ref="H15:I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0B395-C0B7-45E6-8EAE-F96C7CC12372}">
  <dimension ref="A1:X42"/>
  <sheetViews>
    <sheetView topLeftCell="A10" workbookViewId="0">
      <selection activeCell="G31" sqref="G31"/>
    </sheetView>
  </sheetViews>
  <sheetFormatPr defaultRowHeight="14.5" x14ac:dyDescent="0.35"/>
  <cols>
    <col min="2" max="2" width="36.1796875" customWidth="1"/>
    <col min="3" max="3" width="17.08984375" customWidth="1"/>
    <col min="4" max="4" width="17.26953125" customWidth="1"/>
    <col min="5" max="5" width="9" bestFit="1" customWidth="1"/>
    <col min="6" max="6" width="13" bestFit="1" customWidth="1"/>
    <col min="7" max="7" width="9" bestFit="1" customWidth="1"/>
    <col min="8" max="8" width="9.81640625" bestFit="1" customWidth="1"/>
    <col min="9" max="13" width="9" bestFit="1" customWidth="1"/>
    <col min="14" max="24" width="9.54296875" bestFit="1" customWidth="1"/>
  </cols>
  <sheetData>
    <row r="1" spans="2:24" x14ac:dyDescent="0.35">
      <c r="C1" s="12"/>
    </row>
    <row r="2" spans="2:24" x14ac:dyDescent="0.35">
      <c r="B2" s="97" t="s">
        <v>17</v>
      </c>
      <c r="C2" s="99">
        <v>2024</v>
      </c>
      <c r="D2" s="99">
        <v>2025</v>
      </c>
      <c r="E2" s="99">
        <v>2026</v>
      </c>
      <c r="F2" s="99" t="s">
        <v>23</v>
      </c>
    </row>
    <row r="3" spans="2:24" x14ac:dyDescent="0.35">
      <c r="B3" t="s">
        <v>230</v>
      </c>
      <c r="C3" s="115">
        <f>Eelarve_kool!E11</f>
        <v>100800</v>
      </c>
      <c r="D3" s="115">
        <f>Eelarve_kool!F11</f>
        <v>2042523</v>
      </c>
      <c r="E3">
        <v>0</v>
      </c>
      <c r="F3" s="32">
        <f>SUM(C3:E3)</f>
        <v>2143323</v>
      </c>
      <c r="G3" s="165">
        <f>SUM(F3:F4)/$F$6</f>
        <v>0.79749726874441218</v>
      </c>
    </row>
    <row r="4" spans="2:24" x14ac:dyDescent="0.35">
      <c r="B4" t="s">
        <v>154</v>
      </c>
      <c r="C4" s="115">
        <f>Tasuvus_majutus!L10</f>
        <v>219600</v>
      </c>
      <c r="D4" s="115">
        <f>Tasuvus_majutus!M10</f>
        <v>0</v>
      </c>
      <c r="E4">
        <v>0</v>
      </c>
      <c r="F4" s="32">
        <f t="shared" ref="F4:F5" si="0">SUM(C4:E4)</f>
        <v>219600</v>
      </c>
      <c r="G4" s="165"/>
    </row>
    <row r="5" spans="2:24" x14ac:dyDescent="0.35">
      <c r="B5" s="4" t="s">
        <v>234</v>
      </c>
      <c r="C5" s="148"/>
      <c r="D5" s="33">
        <v>350000</v>
      </c>
      <c r="E5" s="33">
        <v>250000</v>
      </c>
      <c r="F5" s="33">
        <f t="shared" si="0"/>
        <v>600000</v>
      </c>
      <c r="G5" s="149">
        <f>F5/$F$6</f>
        <v>0.20250273125558782</v>
      </c>
    </row>
    <row r="6" spans="2:24" x14ac:dyDescent="0.35">
      <c r="B6" s="9" t="s">
        <v>231</v>
      </c>
      <c r="C6" s="147">
        <f>SUM(C3:C5)</f>
        <v>320400</v>
      </c>
      <c r="D6" s="147">
        <f>SUM(D3:D5)</f>
        <v>2392523</v>
      </c>
      <c r="E6" s="147">
        <f>SUM(E3:E5)</f>
        <v>250000</v>
      </c>
      <c r="F6" s="101">
        <f>SUM(C6:E6)</f>
        <v>2962923</v>
      </c>
      <c r="G6" s="149">
        <f>F6/$F$6</f>
        <v>1</v>
      </c>
    </row>
    <row r="7" spans="2:24" x14ac:dyDescent="0.35">
      <c r="C7" s="12"/>
      <c r="D7" s="12"/>
    </row>
    <row r="8" spans="2:24" x14ac:dyDescent="0.35">
      <c r="B8" s="97"/>
      <c r="C8" s="97">
        <v>2024</v>
      </c>
      <c r="D8" s="97">
        <f>C8+1</f>
        <v>2025</v>
      </c>
      <c r="E8" s="97">
        <f t="shared" ref="E8:X8" si="1">D8+1</f>
        <v>2026</v>
      </c>
      <c r="F8" s="97">
        <f t="shared" si="1"/>
        <v>2027</v>
      </c>
      <c r="G8" s="97">
        <f t="shared" si="1"/>
        <v>2028</v>
      </c>
      <c r="H8" s="97">
        <f t="shared" si="1"/>
        <v>2029</v>
      </c>
      <c r="I8" s="97">
        <f t="shared" si="1"/>
        <v>2030</v>
      </c>
      <c r="J8" s="97">
        <f t="shared" si="1"/>
        <v>2031</v>
      </c>
      <c r="K8" s="97">
        <f t="shared" si="1"/>
        <v>2032</v>
      </c>
      <c r="L8" s="97">
        <f t="shared" si="1"/>
        <v>2033</v>
      </c>
      <c r="M8" s="97">
        <f t="shared" si="1"/>
        <v>2034</v>
      </c>
      <c r="N8" s="97">
        <f t="shared" si="1"/>
        <v>2035</v>
      </c>
      <c r="O8" s="97">
        <f t="shared" si="1"/>
        <v>2036</v>
      </c>
      <c r="P8" s="97">
        <f t="shared" si="1"/>
        <v>2037</v>
      </c>
      <c r="Q8" s="97">
        <f t="shared" si="1"/>
        <v>2038</v>
      </c>
      <c r="R8" s="97">
        <f t="shared" si="1"/>
        <v>2039</v>
      </c>
      <c r="S8" s="97">
        <f t="shared" si="1"/>
        <v>2040</v>
      </c>
      <c r="T8" s="97">
        <f t="shared" si="1"/>
        <v>2041</v>
      </c>
      <c r="U8" s="97">
        <f t="shared" si="1"/>
        <v>2042</v>
      </c>
      <c r="V8" s="97">
        <f t="shared" si="1"/>
        <v>2043</v>
      </c>
      <c r="W8" s="97">
        <f>V8+1</f>
        <v>2044</v>
      </c>
      <c r="X8" s="97">
        <f t="shared" si="1"/>
        <v>2045</v>
      </c>
    </row>
    <row r="9" spans="2:24" x14ac:dyDescent="0.35">
      <c r="B9" s="117" t="s">
        <v>219</v>
      </c>
      <c r="C9" s="139">
        <f>Tasuvus_kool!C9</f>
        <v>0</v>
      </c>
      <c r="D9" s="139">
        <f>Tasuvus_kool!D9</f>
        <v>0</v>
      </c>
      <c r="E9" s="139">
        <f>Tasuvus_kool!E9</f>
        <v>5400</v>
      </c>
      <c r="F9" s="139">
        <f>Tasuvus_kool!F9</f>
        <v>145503.99909090908</v>
      </c>
      <c r="G9" s="139">
        <f>Tasuvus_kool!G9</f>
        <v>148306.27383703718</v>
      </c>
      <c r="H9" s="139">
        <f>Tasuvus_kool!H9</f>
        <v>151162.51784725318</v>
      </c>
      <c r="I9" s="139">
        <f>Tasuvus_kool!I9</f>
        <v>154073.77052052051</v>
      </c>
      <c r="J9" s="139">
        <f>Tasuvus_kool!J9</f>
        <v>157041.09127368158</v>
      </c>
      <c r="K9" s="139">
        <f>Tasuvus_kool!K9</f>
        <v>160065.55992698428</v>
      </c>
      <c r="L9" s="139">
        <f>Tasuvus_kool!L9</f>
        <v>163148.27709703258</v>
      </c>
      <c r="M9" s="139">
        <f>Tasuvus_kool!M9</f>
        <v>166290.36459730586</v>
      </c>
      <c r="N9" s="139">
        <f>Tasuvus_kool!N9</f>
        <v>169492.96584639122</v>
      </c>
      <c r="O9" s="139">
        <f>Tasuvus_kool!O9</f>
        <v>172757.24628407831</v>
      </c>
      <c r="P9" s="139">
        <f>Tasuvus_kool!P9</f>
        <v>176084.39379546756</v>
      </c>
      <c r="Q9" s="139">
        <f>Tasuvus_kool!Q9</f>
        <v>179475.61914324664</v>
      </c>
      <c r="R9" s="139">
        <f>Tasuvus_kool!R9</f>
        <v>182932.1564082918</v>
      </c>
      <c r="S9" s="139">
        <f>Tasuvus_kool!S9</f>
        <v>186455.26343875512</v>
      </c>
      <c r="T9" s="139">
        <f>Tasuvus_kool!T9</f>
        <v>190046.22230780058</v>
      </c>
      <c r="U9" s="139">
        <f>Tasuvus_kool!U9</f>
        <v>193706.33978015577</v>
      </c>
      <c r="V9" s="139">
        <f>Tasuvus_kool!V9</f>
        <v>197436.94778764903</v>
      </c>
      <c r="W9" s="139">
        <f>Tasuvus_kool!W9</f>
        <v>201239.40391390477</v>
      </c>
      <c r="X9" s="139">
        <f>Tasuvus_kool!X9</f>
        <v>205115.09188837392</v>
      </c>
    </row>
    <row r="10" spans="2:24" x14ac:dyDescent="0.35">
      <c r="B10" s="4" t="s">
        <v>220</v>
      </c>
      <c r="C10" s="33">
        <f>Tasuvus_kool!C18</f>
        <v>0</v>
      </c>
      <c r="D10" s="33">
        <f>Tasuvus_kool!D18-Tasuvus_kool!D10-SUM(Tasuvus_kool!D11:D16)</f>
        <v>-6666.666666666657</v>
      </c>
      <c r="E10" s="33">
        <f>Tasuvus_kool!E18-Tasuvus_kool!E10-SUM(Tasuvus_kool!E11:E16)</f>
        <v>-20000</v>
      </c>
      <c r="F10" s="33">
        <f>Tasuvus_kool!F18</f>
        <v>-260404.64232296575</v>
      </c>
      <c r="G10" s="33">
        <f>Tasuvus_kool!G18</f>
        <v>-267916.38478129666</v>
      </c>
      <c r="H10" s="33">
        <f>Tasuvus_kool!H18</f>
        <v>-275675.39270487672</v>
      </c>
      <c r="I10" s="33">
        <f>Tasuvus_kool!I18</f>
        <v>-283690.64434643422</v>
      </c>
      <c r="J10" s="33">
        <f>Tasuvus_kool!J18</f>
        <v>-291971.46413236065</v>
      </c>
      <c r="K10" s="33">
        <f>Tasuvus_kool!K18</f>
        <v>-300527.53644977463</v>
      </c>
      <c r="L10" s="33">
        <f>Tasuvus_kool!L18</f>
        <v>-309368.91999170859</v>
      </c>
      <c r="M10" s="33">
        <f>Tasuvus_kool!M18</f>
        <v>-318506.06268319197</v>
      </c>
      <c r="N10" s="33">
        <f>Tasuvus_kool!N18</f>
        <v>-327949.81721193524</v>
      </c>
      <c r="O10" s="33">
        <f>Tasuvus_kool!O18</f>
        <v>-337711.45718829235</v>
      </c>
      <c r="P10" s="33">
        <f>Tasuvus_kool!P18</f>
        <v>-347802.69396019005</v>
      </c>
      <c r="Q10" s="33">
        <f>Tasuvus_kool!Q18</f>
        <v>-358235.6941097611</v>
      </c>
      <c r="R10" s="33">
        <f>Tasuvus_kool!R18</f>
        <v>-369023.09765952115</v>
      </c>
      <c r="S10" s="33">
        <f>Tasuvus_kool!S18</f>
        <v>-380178.0370170605</v>
      </c>
      <c r="T10" s="33">
        <f>Tasuvus_kool!T18</f>
        <v>-391714.15668841702</v>
      </c>
      <c r="U10" s="33">
        <f>Tasuvus_kool!U18</f>
        <v>-403645.63379152812</v>
      </c>
      <c r="V10" s="33">
        <f>Tasuvus_kool!V18</f>
        <v>-415987.19940244645</v>
      </c>
      <c r="W10" s="33">
        <f>Tasuvus_kool!W18</f>
        <v>-428754.16076834657</v>
      </c>
      <c r="X10" s="33">
        <f>Tasuvus_kool!X18</f>
        <v>-441962.42442274082</v>
      </c>
    </row>
    <row r="11" spans="2:24" x14ac:dyDescent="0.35">
      <c r="B11" s="10" t="s">
        <v>221</v>
      </c>
      <c r="C11" s="26">
        <f>SUM(C9:C10)</f>
        <v>0</v>
      </c>
      <c r="D11" s="26">
        <f t="shared" ref="D11:X11" si="2">SUM(D9:D10)</f>
        <v>-6666.666666666657</v>
      </c>
      <c r="E11" s="26">
        <f t="shared" si="2"/>
        <v>-14600</v>
      </c>
      <c r="F11" s="26">
        <f t="shared" si="2"/>
        <v>-114900.64323205667</v>
      </c>
      <c r="G11" s="26">
        <f t="shared" si="2"/>
        <v>-119610.11094425948</v>
      </c>
      <c r="H11" s="26">
        <f t="shared" si="2"/>
        <v>-124512.87485762354</v>
      </c>
      <c r="I11" s="26">
        <f t="shared" si="2"/>
        <v>-129616.8738259137</v>
      </c>
      <c r="J11" s="26">
        <f t="shared" si="2"/>
        <v>-134930.37285867907</v>
      </c>
      <c r="K11" s="26">
        <f t="shared" si="2"/>
        <v>-140461.97652279036</v>
      </c>
      <c r="L11" s="26">
        <f t="shared" si="2"/>
        <v>-146220.64289467601</v>
      </c>
      <c r="M11" s="26">
        <f t="shared" si="2"/>
        <v>-152215.69808588611</v>
      </c>
      <c r="N11" s="26">
        <f t="shared" si="2"/>
        <v>-158456.85136554402</v>
      </c>
      <c r="O11" s="26">
        <f t="shared" si="2"/>
        <v>-164954.21090421404</v>
      </c>
      <c r="P11" s="26">
        <f t="shared" si="2"/>
        <v>-171718.30016472249</v>
      </c>
      <c r="Q11" s="26">
        <f t="shared" si="2"/>
        <v>-178760.07496651445</v>
      </c>
      <c r="R11" s="26">
        <f t="shared" si="2"/>
        <v>-186090.94125122935</v>
      </c>
      <c r="S11" s="26">
        <f t="shared" si="2"/>
        <v>-193722.77357830538</v>
      </c>
      <c r="T11" s="26">
        <f t="shared" si="2"/>
        <v>-201667.93438061644</v>
      </c>
      <c r="U11" s="26">
        <f t="shared" si="2"/>
        <v>-209939.29401137235</v>
      </c>
      <c r="V11" s="26">
        <f t="shared" si="2"/>
        <v>-218550.25161479742</v>
      </c>
      <c r="W11" s="26">
        <f t="shared" si="2"/>
        <v>-227514.7568544418</v>
      </c>
      <c r="X11" s="26">
        <f t="shared" si="2"/>
        <v>-236847.3325343669</v>
      </c>
    </row>
    <row r="12" spans="2:24" x14ac:dyDescent="0.35">
      <c r="B12" s="2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</row>
    <row r="13" spans="2:24" x14ac:dyDescent="0.35">
      <c r="B13" s="97" t="s">
        <v>36</v>
      </c>
      <c r="C13" s="146">
        <f>C8</f>
        <v>2024</v>
      </c>
      <c r="D13" s="146">
        <f t="shared" ref="D13:X13" si="3">D8</f>
        <v>2025</v>
      </c>
      <c r="E13" s="146">
        <f t="shared" si="3"/>
        <v>2026</v>
      </c>
      <c r="F13" s="146">
        <f t="shared" si="3"/>
        <v>2027</v>
      </c>
      <c r="G13" s="146">
        <f t="shared" si="3"/>
        <v>2028</v>
      </c>
      <c r="H13" s="146">
        <f t="shared" si="3"/>
        <v>2029</v>
      </c>
      <c r="I13" s="146">
        <f t="shared" si="3"/>
        <v>2030</v>
      </c>
      <c r="J13" s="146">
        <f t="shared" si="3"/>
        <v>2031</v>
      </c>
      <c r="K13" s="146">
        <f t="shared" si="3"/>
        <v>2032</v>
      </c>
      <c r="L13" s="146">
        <f t="shared" si="3"/>
        <v>2033</v>
      </c>
      <c r="M13" s="146">
        <f t="shared" si="3"/>
        <v>2034</v>
      </c>
      <c r="N13" s="146">
        <f t="shared" si="3"/>
        <v>2035</v>
      </c>
      <c r="O13" s="146">
        <f t="shared" si="3"/>
        <v>2036</v>
      </c>
      <c r="P13" s="146">
        <f t="shared" si="3"/>
        <v>2037</v>
      </c>
      <c r="Q13" s="146">
        <f t="shared" si="3"/>
        <v>2038</v>
      </c>
      <c r="R13" s="146">
        <f t="shared" si="3"/>
        <v>2039</v>
      </c>
      <c r="S13" s="146">
        <f t="shared" si="3"/>
        <v>2040</v>
      </c>
      <c r="T13" s="146">
        <f t="shared" si="3"/>
        <v>2041</v>
      </c>
      <c r="U13" s="146">
        <f t="shared" si="3"/>
        <v>2042</v>
      </c>
      <c r="V13" s="146">
        <f t="shared" si="3"/>
        <v>2043</v>
      </c>
      <c r="W13" s="146">
        <f t="shared" si="3"/>
        <v>2044</v>
      </c>
      <c r="X13" s="146">
        <f t="shared" si="3"/>
        <v>2045</v>
      </c>
    </row>
    <row r="14" spans="2:24" x14ac:dyDescent="0.35">
      <c r="B14" t="s">
        <v>241</v>
      </c>
      <c r="C14" s="32">
        <f>C6*$C$41</f>
        <v>240300</v>
      </c>
      <c r="D14" s="32">
        <f>D6*$C$41</f>
        <v>1794392.25</v>
      </c>
      <c r="E14" s="32">
        <f>E6*$C$41</f>
        <v>187500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</row>
    <row r="15" spans="2:24" x14ac:dyDescent="0.35">
      <c r="B15" t="s">
        <v>249</v>
      </c>
      <c r="C15" s="32">
        <f>C6-C14</f>
        <v>80100</v>
      </c>
      <c r="D15" s="32">
        <f>D6-D14</f>
        <v>598130.75</v>
      </c>
      <c r="E15" s="32">
        <f>E6-E14</f>
        <v>62500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2:24" x14ac:dyDescent="0.35">
      <c r="B16" t="s">
        <v>250</v>
      </c>
      <c r="C16" s="32">
        <f>-'Tulud-Kulud'!C13</f>
        <v>0</v>
      </c>
      <c r="D16" s="32">
        <v>0</v>
      </c>
      <c r="E16" s="32">
        <v>0</v>
      </c>
      <c r="F16" s="32">
        <f>-'Tulud-Kulud'!F13</f>
        <v>23371.20325090909</v>
      </c>
      <c r="G16" s="32">
        <f>-'Tulud-Kulud'!G13</f>
        <v>23821.311378973187</v>
      </c>
      <c r="H16" s="32">
        <f>-'Tulud-Kulud'!H13</f>
        <v>24280.088180394592</v>
      </c>
      <c r="I16" s="32">
        <f>-'Tulud-Kulud'!I13</f>
        <v>24747.700605941554</v>
      </c>
      <c r="J16" s="32">
        <f>-'Tulud-Kulud'!J13</f>
        <v>25224.318821702345</v>
      </c>
      <c r="K16" s="32">
        <f>-'Tulud-Kulud'!K13</f>
        <v>25710.116271009403</v>
      </c>
      <c r="L16" s="32">
        <f>-'Tulud-Kulud'!L13</f>
        <v>26205.269737556067</v>
      </c>
      <c r="M16" s="32">
        <f>-'Tulud-Kulud'!M13</f>
        <v>26709.959409728908</v>
      </c>
      <c r="N16" s="32">
        <f>-'Tulud-Kulud'!N13</f>
        <v>27224.368946179002</v>
      </c>
      <c r="O16" s="32">
        <f>-'Tulud-Kulud'!O13</f>
        <v>27748.685542656094</v>
      </c>
      <c r="P16" s="32">
        <f>-'Tulud-Kulud'!P13</f>
        <v>28283.100000129882</v>
      </c>
      <c r="Q16" s="32">
        <f>-'Tulud-Kulud'!Q13</f>
        <v>28827.806794223288</v>
      </c>
      <c r="R16" s="32">
        <f>-'Tulud-Kulud'!R13</f>
        <v>29383.004145982941</v>
      </c>
      <c r="S16" s="32">
        <f>-'Tulud-Kulud'!S13</f>
        <v>29948.894094012619</v>
      </c>
      <c r="T16" s="32">
        <f>-'Tulud-Kulud'!T13</f>
        <v>30525.682567995944</v>
      </c>
      <c r="U16" s="32">
        <f>-'Tulud-Kulud'!U13</f>
        <v>31113.579463635026</v>
      </c>
      <c r="V16" s="32">
        <f>-'Tulud-Kulud'!V13</f>
        <v>31712.798719032395</v>
      </c>
      <c r="W16" s="32">
        <f>-'Tulud-Kulud'!W13</f>
        <v>32323.558392543939</v>
      </c>
      <c r="X16" s="32">
        <f>-'Tulud-Kulud'!X13</f>
        <v>32946.080742131249</v>
      </c>
    </row>
    <row r="17" spans="1:24" x14ac:dyDescent="0.35">
      <c r="B17" t="s">
        <v>242</v>
      </c>
      <c r="C17" s="32">
        <f>-C11-C16</f>
        <v>0</v>
      </c>
      <c r="D17" s="32">
        <f>-D11-D16</f>
        <v>6666.666666666657</v>
      </c>
      <c r="E17" s="32">
        <f>-E11-E16</f>
        <v>14600</v>
      </c>
      <c r="F17" s="32">
        <f>-F11-F16</f>
        <v>91529.439981147574</v>
      </c>
      <c r="G17" s="32">
        <f t="shared" ref="D17:X17" si="4">-G11-G16</f>
        <v>95788.799565286288</v>
      </c>
      <c r="H17" s="32">
        <f t="shared" si="4"/>
        <v>100232.78667722894</v>
      </c>
      <c r="I17" s="32">
        <f t="shared" si="4"/>
        <v>104869.17321997214</v>
      </c>
      <c r="J17" s="32">
        <f t="shared" si="4"/>
        <v>109706.05403697673</v>
      </c>
      <c r="K17" s="32">
        <f t="shared" si="4"/>
        <v>114751.86025178095</v>
      </c>
      <c r="L17" s="32">
        <f t="shared" si="4"/>
        <v>120015.37315711995</v>
      </c>
      <c r="M17" s="32">
        <f t="shared" si="4"/>
        <v>125505.7386761572</v>
      </c>
      <c r="N17" s="32">
        <f t="shared" si="4"/>
        <v>131232.48241936503</v>
      </c>
      <c r="O17" s="32">
        <f t="shared" si="4"/>
        <v>137205.52536155796</v>
      </c>
      <c r="P17" s="32">
        <f t="shared" si="4"/>
        <v>143435.20016459259</v>
      </c>
      <c r="Q17" s="32">
        <f t="shared" si="4"/>
        <v>149932.26817229117</v>
      </c>
      <c r="R17" s="32">
        <f t="shared" si="4"/>
        <v>156707.93710524641</v>
      </c>
      <c r="S17" s="32">
        <f t="shared" si="4"/>
        <v>163773.87948429276</v>
      </c>
      <c r="T17" s="32">
        <f t="shared" si="4"/>
        <v>171142.2518126205</v>
      </c>
      <c r="U17" s="32">
        <f t="shared" si="4"/>
        <v>178825.71454773733</v>
      </c>
      <c r="V17" s="32">
        <f t="shared" si="4"/>
        <v>186837.45289576502</v>
      </c>
      <c r="W17" s="32">
        <f t="shared" si="4"/>
        <v>195191.19846189787</v>
      </c>
      <c r="X17" s="32">
        <f t="shared" si="4"/>
        <v>203901.25179223565</v>
      </c>
    </row>
    <row r="18" spans="1:24" x14ac:dyDescent="0.35">
      <c r="B18" t="s">
        <v>243</v>
      </c>
      <c r="C18" s="32">
        <f>C9</f>
        <v>0</v>
      </c>
      <c r="D18" s="32">
        <f t="shared" ref="D18:X18" si="5">D9</f>
        <v>0</v>
      </c>
      <c r="E18" s="32">
        <f t="shared" si="5"/>
        <v>5400</v>
      </c>
      <c r="F18" s="32">
        <f t="shared" si="5"/>
        <v>145503.99909090908</v>
      </c>
      <c r="G18" s="32">
        <f t="shared" si="5"/>
        <v>148306.27383703718</v>
      </c>
      <c r="H18" s="32">
        <f t="shared" si="5"/>
        <v>151162.51784725318</v>
      </c>
      <c r="I18" s="32">
        <f t="shared" si="5"/>
        <v>154073.77052052051</v>
      </c>
      <c r="J18" s="32">
        <f t="shared" si="5"/>
        <v>157041.09127368158</v>
      </c>
      <c r="K18" s="32">
        <f t="shared" si="5"/>
        <v>160065.55992698428</v>
      </c>
      <c r="L18" s="32">
        <f t="shared" si="5"/>
        <v>163148.27709703258</v>
      </c>
      <c r="M18" s="32">
        <f t="shared" si="5"/>
        <v>166290.36459730586</v>
      </c>
      <c r="N18" s="32">
        <f t="shared" si="5"/>
        <v>169492.96584639122</v>
      </c>
      <c r="O18" s="32">
        <f t="shared" si="5"/>
        <v>172757.24628407831</v>
      </c>
      <c r="P18" s="32">
        <f t="shared" si="5"/>
        <v>176084.39379546756</v>
      </c>
      <c r="Q18" s="32">
        <f t="shared" si="5"/>
        <v>179475.61914324664</v>
      </c>
      <c r="R18" s="32">
        <f t="shared" si="5"/>
        <v>182932.1564082918</v>
      </c>
      <c r="S18" s="32">
        <f t="shared" si="5"/>
        <v>186455.26343875512</v>
      </c>
      <c r="T18" s="32">
        <f t="shared" si="5"/>
        <v>190046.22230780058</v>
      </c>
      <c r="U18" s="32">
        <f t="shared" si="5"/>
        <v>193706.33978015577</v>
      </c>
      <c r="V18" s="32">
        <f t="shared" si="5"/>
        <v>197436.94778764903</v>
      </c>
      <c r="W18" s="32">
        <f t="shared" si="5"/>
        <v>201239.40391390477</v>
      </c>
      <c r="X18" s="32">
        <f t="shared" si="5"/>
        <v>205115.09188837392</v>
      </c>
    </row>
    <row r="19" spans="1:24" x14ac:dyDescent="0.35">
      <c r="B19" s="2" t="s">
        <v>244</v>
      </c>
      <c r="C19" s="30">
        <f>SUM(C14:C18)</f>
        <v>320400</v>
      </c>
      <c r="D19" s="30">
        <f t="shared" ref="D19:X19" si="6">SUM(D14:D18)</f>
        <v>2399189.6666666665</v>
      </c>
      <c r="E19" s="30">
        <f t="shared" si="6"/>
        <v>270000</v>
      </c>
      <c r="F19" s="30">
        <f t="shared" si="6"/>
        <v>260404.64232296575</v>
      </c>
      <c r="G19" s="30">
        <f t="shared" si="6"/>
        <v>267916.38478129666</v>
      </c>
      <c r="H19" s="30">
        <f t="shared" si="6"/>
        <v>275675.39270487672</v>
      </c>
      <c r="I19" s="30">
        <f t="shared" si="6"/>
        <v>283690.64434643422</v>
      </c>
      <c r="J19" s="30">
        <f t="shared" si="6"/>
        <v>291971.46413236065</v>
      </c>
      <c r="K19" s="30">
        <f t="shared" si="6"/>
        <v>300527.53644977463</v>
      </c>
      <c r="L19" s="30">
        <f t="shared" si="6"/>
        <v>309368.91999170859</v>
      </c>
      <c r="M19" s="30">
        <f t="shared" si="6"/>
        <v>318506.06268319197</v>
      </c>
      <c r="N19" s="30">
        <f t="shared" si="6"/>
        <v>327949.81721193524</v>
      </c>
      <c r="O19" s="30">
        <f t="shared" si="6"/>
        <v>337711.45718829241</v>
      </c>
      <c r="P19" s="30">
        <f t="shared" si="6"/>
        <v>347802.69396019005</v>
      </c>
      <c r="Q19" s="30">
        <f t="shared" si="6"/>
        <v>358235.6941097611</v>
      </c>
      <c r="R19" s="30">
        <f t="shared" si="6"/>
        <v>369023.09765952115</v>
      </c>
      <c r="S19" s="30">
        <f t="shared" si="6"/>
        <v>380178.0370170605</v>
      </c>
      <c r="T19" s="30">
        <f t="shared" si="6"/>
        <v>391714.15668841702</v>
      </c>
      <c r="U19" s="30">
        <f t="shared" si="6"/>
        <v>403645.63379152812</v>
      </c>
      <c r="V19" s="30">
        <f t="shared" si="6"/>
        <v>415987.19940244645</v>
      </c>
      <c r="W19" s="30">
        <f t="shared" si="6"/>
        <v>428754.16076834657</v>
      </c>
      <c r="X19" s="30">
        <f t="shared" si="6"/>
        <v>441962.42442274082</v>
      </c>
    </row>
    <row r="20" spans="1:24" x14ac:dyDescent="0.35">
      <c r="B20" t="s">
        <v>40</v>
      </c>
      <c r="C20" s="32">
        <f>-C6</f>
        <v>-320400</v>
      </c>
      <c r="D20" s="32">
        <f>-D6</f>
        <v>-2392523</v>
      </c>
      <c r="E20" s="32">
        <f>-E6</f>
        <v>-250000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</row>
    <row r="21" spans="1:24" x14ac:dyDescent="0.35">
      <c r="B21" t="s">
        <v>245</v>
      </c>
      <c r="C21" s="32">
        <f>C10</f>
        <v>0</v>
      </c>
      <c r="D21" s="32">
        <f t="shared" ref="D21:X21" si="7">D10</f>
        <v>-6666.666666666657</v>
      </c>
      <c r="E21" s="32">
        <f t="shared" si="7"/>
        <v>-20000</v>
      </c>
      <c r="F21" s="32">
        <f t="shared" si="7"/>
        <v>-260404.64232296575</v>
      </c>
      <c r="G21" s="32">
        <f t="shared" si="7"/>
        <v>-267916.38478129666</v>
      </c>
      <c r="H21" s="32">
        <f t="shared" si="7"/>
        <v>-275675.39270487672</v>
      </c>
      <c r="I21" s="32">
        <f t="shared" si="7"/>
        <v>-283690.64434643422</v>
      </c>
      <c r="J21" s="32">
        <f t="shared" si="7"/>
        <v>-291971.46413236065</v>
      </c>
      <c r="K21" s="32">
        <f t="shared" si="7"/>
        <v>-300527.53644977463</v>
      </c>
      <c r="L21" s="32">
        <f t="shared" si="7"/>
        <v>-309368.91999170859</v>
      </c>
      <c r="M21" s="32">
        <f t="shared" si="7"/>
        <v>-318506.06268319197</v>
      </c>
      <c r="N21" s="32">
        <f t="shared" si="7"/>
        <v>-327949.81721193524</v>
      </c>
      <c r="O21" s="32">
        <f t="shared" si="7"/>
        <v>-337711.45718829235</v>
      </c>
      <c r="P21" s="32">
        <f t="shared" si="7"/>
        <v>-347802.69396019005</v>
      </c>
      <c r="Q21" s="32">
        <f t="shared" si="7"/>
        <v>-358235.6941097611</v>
      </c>
      <c r="R21" s="32">
        <f t="shared" si="7"/>
        <v>-369023.09765952115</v>
      </c>
      <c r="S21" s="32">
        <f t="shared" si="7"/>
        <v>-380178.0370170605</v>
      </c>
      <c r="T21" s="32">
        <f t="shared" si="7"/>
        <v>-391714.15668841702</v>
      </c>
      <c r="U21" s="32">
        <f t="shared" si="7"/>
        <v>-403645.63379152812</v>
      </c>
      <c r="V21" s="32">
        <f t="shared" si="7"/>
        <v>-415987.19940244645</v>
      </c>
      <c r="W21" s="32">
        <f t="shared" si="7"/>
        <v>-428754.16076834657</v>
      </c>
      <c r="X21" s="32">
        <f t="shared" si="7"/>
        <v>-441962.42442274082</v>
      </c>
    </row>
    <row r="22" spans="1:24" x14ac:dyDescent="0.35">
      <c r="B22" s="3" t="s">
        <v>246</v>
      </c>
      <c r="C22" s="31">
        <f>SUM(C20:C21)</f>
        <v>-320400</v>
      </c>
      <c r="D22" s="31">
        <f t="shared" ref="D22:X22" si="8">SUM(D20:D21)</f>
        <v>-2399189.6666666665</v>
      </c>
      <c r="E22" s="31">
        <f t="shared" si="8"/>
        <v>-270000</v>
      </c>
      <c r="F22" s="31">
        <f t="shared" si="8"/>
        <v>-260404.64232296575</v>
      </c>
      <c r="G22" s="31">
        <f t="shared" si="8"/>
        <v>-267916.38478129666</v>
      </c>
      <c r="H22" s="31">
        <f t="shared" si="8"/>
        <v>-275675.39270487672</v>
      </c>
      <c r="I22" s="31">
        <f t="shared" si="8"/>
        <v>-283690.64434643422</v>
      </c>
      <c r="J22" s="31">
        <f t="shared" si="8"/>
        <v>-291971.46413236065</v>
      </c>
      <c r="K22" s="31">
        <f t="shared" si="8"/>
        <v>-300527.53644977463</v>
      </c>
      <c r="L22" s="31">
        <f t="shared" si="8"/>
        <v>-309368.91999170859</v>
      </c>
      <c r="M22" s="31">
        <f t="shared" si="8"/>
        <v>-318506.06268319197</v>
      </c>
      <c r="N22" s="31">
        <f t="shared" si="8"/>
        <v>-327949.81721193524</v>
      </c>
      <c r="O22" s="31">
        <f t="shared" si="8"/>
        <v>-337711.45718829235</v>
      </c>
      <c r="P22" s="31">
        <f t="shared" si="8"/>
        <v>-347802.69396019005</v>
      </c>
      <c r="Q22" s="31">
        <f t="shared" si="8"/>
        <v>-358235.6941097611</v>
      </c>
      <c r="R22" s="31">
        <f t="shared" si="8"/>
        <v>-369023.09765952115</v>
      </c>
      <c r="S22" s="31">
        <f t="shared" si="8"/>
        <v>-380178.0370170605</v>
      </c>
      <c r="T22" s="31">
        <f t="shared" si="8"/>
        <v>-391714.15668841702</v>
      </c>
      <c r="U22" s="31">
        <f t="shared" si="8"/>
        <v>-403645.63379152812</v>
      </c>
      <c r="V22" s="31">
        <f t="shared" si="8"/>
        <v>-415987.19940244645</v>
      </c>
      <c r="W22" s="31">
        <f t="shared" si="8"/>
        <v>-428754.16076834657</v>
      </c>
      <c r="X22" s="31">
        <f t="shared" si="8"/>
        <v>-441962.42442274082</v>
      </c>
    </row>
    <row r="23" spans="1:24" x14ac:dyDescent="0.35">
      <c r="B23" s="10" t="s">
        <v>247</v>
      </c>
      <c r="C23" s="26">
        <f>C19+C22</f>
        <v>0</v>
      </c>
      <c r="D23" s="26">
        <f t="shared" ref="D23:X23" si="9">D19+D22</f>
        <v>0</v>
      </c>
      <c r="E23" s="26">
        <f t="shared" si="9"/>
        <v>0</v>
      </c>
      <c r="F23" s="26">
        <f t="shared" si="9"/>
        <v>0</v>
      </c>
      <c r="G23" s="26">
        <f t="shared" si="9"/>
        <v>0</v>
      </c>
      <c r="H23" s="26">
        <f t="shared" si="9"/>
        <v>0</v>
      </c>
      <c r="I23" s="26">
        <f t="shared" si="9"/>
        <v>0</v>
      </c>
      <c r="J23" s="26">
        <f t="shared" si="9"/>
        <v>0</v>
      </c>
      <c r="K23" s="26">
        <f t="shared" si="9"/>
        <v>0</v>
      </c>
      <c r="L23" s="26">
        <f t="shared" si="9"/>
        <v>0</v>
      </c>
      <c r="M23" s="26">
        <f t="shared" si="9"/>
        <v>0</v>
      </c>
      <c r="N23" s="26">
        <f t="shared" si="9"/>
        <v>0</v>
      </c>
      <c r="O23" s="26">
        <f t="shared" si="9"/>
        <v>0</v>
      </c>
      <c r="P23" s="26">
        <f t="shared" si="9"/>
        <v>0</v>
      </c>
      <c r="Q23" s="26">
        <f t="shared" si="9"/>
        <v>0</v>
      </c>
      <c r="R23" s="26">
        <f t="shared" si="9"/>
        <v>0</v>
      </c>
      <c r="S23" s="26">
        <f t="shared" si="9"/>
        <v>0</v>
      </c>
      <c r="T23" s="26">
        <f t="shared" si="9"/>
        <v>0</v>
      </c>
      <c r="U23" s="26">
        <f t="shared" si="9"/>
        <v>0</v>
      </c>
      <c r="V23" s="26">
        <f t="shared" si="9"/>
        <v>0</v>
      </c>
      <c r="W23" s="26">
        <f t="shared" si="9"/>
        <v>0</v>
      </c>
      <c r="X23" s="26">
        <f t="shared" si="9"/>
        <v>0</v>
      </c>
    </row>
    <row r="24" spans="1:24" x14ac:dyDescent="0.35">
      <c r="B24" s="10" t="s">
        <v>248</v>
      </c>
      <c r="C24" s="26">
        <f>C23</f>
        <v>0</v>
      </c>
      <c r="D24" s="26">
        <f>C24+D23</f>
        <v>0</v>
      </c>
      <c r="E24" s="26">
        <f t="shared" ref="E24:X24" si="10">D24+E23</f>
        <v>0</v>
      </c>
      <c r="F24" s="26">
        <f t="shared" si="10"/>
        <v>0</v>
      </c>
      <c r="G24" s="26">
        <f t="shared" si="10"/>
        <v>0</v>
      </c>
      <c r="H24" s="26">
        <f t="shared" si="10"/>
        <v>0</v>
      </c>
      <c r="I24" s="26">
        <f t="shared" si="10"/>
        <v>0</v>
      </c>
      <c r="J24" s="26">
        <f t="shared" si="10"/>
        <v>0</v>
      </c>
      <c r="K24" s="26">
        <f t="shared" si="10"/>
        <v>0</v>
      </c>
      <c r="L24" s="26">
        <f t="shared" si="10"/>
        <v>0</v>
      </c>
      <c r="M24" s="26">
        <f t="shared" si="10"/>
        <v>0</v>
      </c>
      <c r="N24" s="26">
        <f t="shared" si="10"/>
        <v>0</v>
      </c>
      <c r="O24" s="26">
        <f t="shared" si="10"/>
        <v>0</v>
      </c>
      <c r="P24" s="26">
        <f t="shared" si="10"/>
        <v>0</v>
      </c>
      <c r="Q24" s="26">
        <f t="shared" si="10"/>
        <v>0</v>
      </c>
      <c r="R24" s="26">
        <f t="shared" si="10"/>
        <v>0</v>
      </c>
      <c r="S24" s="26">
        <f t="shared" si="10"/>
        <v>0</v>
      </c>
      <c r="T24" s="26">
        <f t="shared" si="10"/>
        <v>0</v>
      </c>
      <c r="U24" s="26">
        <f t="shared" si="10"/>
        <v>0</v>
      </c>
      <c r="V24" s="26">
        <f t="shared" si="10"/>
        <v>0</v>
      </c>
      <c r="W24" s="26">
        <f t="shared" si="10"/>
        <v>0</v>
      </c>
      <c r="X24" s="26">
        <f t="shared" si="10"/>
        <v>0</v>
      </c>
    </row>
    <row r="26" spans="1:24" x14ac:dyDescent="0.35">
      <c r="A26" s="127"/>
      <c r="B26" s="134" t="s">
        <v>46</v>
      </c>
      <c r="C26" s="137">
        <f>Makro!B29</f>
        <v>6.0029454545454497E-2</v>
      </c>
      <c r="D26" s="127"/>
    </row>
    <row r="27" spans="1:24" x14ac:dyDescent="0.35">
      <c r="A27" s="127"/>
      <c r="B27" s="128" t="s">
        <v>203</v>
      </c>
      <c r="C27" s="129">
        <f>C8</f>
        <v>2024</v>
      </c>
      <c r="D27" s="127"/>
    </row>
    <row r="28" spans="1:24" x14ac:dyDescent="0.35">
      <c r="A28" s="127"/>
      <c r="B28" s="128" t="s">
        <v>204</v>
      </c>
      <c r="C28" s="129">
        <f>X8</f>
        <v>2045</v>
      </c>
      <c r="D28" s="127"/>
    </row>
    <row r="29" spans="1:24" x14ac:dyDescent="0.35">
      <c r="A29" s="127"/>
      <c r="B29" s="154" t="s">
        <v>233</v>
      </c>
      <c r="C29" s="155">
        <f>IF(C28&gt;0,C28-C27+1,"")</f>
        <v>22</v>
      </c>
      <c r="D29" s="130"/>
    </row>
    <row r="30" spans="1:24" x14ac:dyDescent="0.35">
      <c r="A30" s="127"/>
      <c r="B30" s="130"/>
      <c r="C30" s="127"/>
      <c r="D30" s="127"/>
    </row>
    <row r="31" spans="1:24" ht="29" x14ac:dyDescent="0.35">
      <c r="A31" s="127"/>
      <c r="B31" s="141" t="s">
        <v>205</v>
      </c>
      <c r="C31" s="135" t="s">
        <v>206</v>
      </c>
      <c r="D31" s="135" t="s">
        <v>207</v>
      </c>
    </row>
    <row r="32" spans="1:24" x14ac:dyDescent="0.35">
      <c r="A32" s="127"/>
      <c r="B32" s="142" t="s">
        <v>208</v>
      </c>
      <c r="C32" s="131">
        <f>F6</f>
        <v>2962923</v>
      </c>
      <c r="D32" s="132">
        <f>NPV(C26,C6:E6)</f>
        <v>2641361.6962364353</v>
      </c>
    </row>
    <row r="33" spans="1:6" x14ac:dyDescent="0.35">
      <c r="A33" s="127"/>
      <c r="B33" s="142" t="s">
        <v>209</v>
      </c>
      <c r="C33" s="131">
        <v>0</v>
      </c>
      <c r="D33" s="132">
        <v>0</v>
      </c>
    </row>
    <row r="34" spans="1:6" x14ac:dyDescent="0.35">
      <c r="A34" s="127"/>
      <c r="B34" s="142" t="s">
        <v>210</v>
      </c>
      <c r="C34" s="133"/>
      <c r="D34" s="132">
        <f>NPV(C26,C9:X9)</f>
        <v>1578630.7622377027</v>
      </c>
      <c r="F34" s="138"/>
    </row>
    <row r="35" spans="1:6" x14ac:dyDescent="0.35">
      <c r="A35" s="127"/>
      <c r="B35" s="142" t="s">
        <v>211</v>
      </c>
      <c r="C35" s="133"/>
      <c r="D35" s="132">
        <f>-NPV(C26,C10:X10)</f>
        <v>3072970.6909687184</v>
      </c>
    </row>
    <row r="36" spans="1:6" x14ac:dyDescent="0.35">
      <c r="A36" s="127"/>
      <c r="B36" s="142" t="s">
        <v>212</v>
      </c>
      <c r="C36" s="133"/>
      <c r="D36" s="132">
        <f>IF((D33+D34-D35)&lt;0,0,D33+D34-D35)</f>
        <v>0</v>
      </c>
    </row>
    <row r="37" spans="1:6" x14ac:dyDescent="0.35">
      <c r="A37" s="127"/>
      <c r="B37" s="142" t="s">
        <v>213</v>
      </c>
      <c r="C37" s="133"/>
      <c r="D37" s="132">
        <f>D32-D36</f>
        <v>2641361.6962364353</v>
      </c>
    </row>
    <row r="38" spans="1:6" x14ac:dyDescent="0.35">
      <c r="A38" s="127"/>
      <c r="B38" s="142" t="s">
        <v>214</v>
      </c>
      <c r="C38" s="133"/>
      <c r="D38" s="140">
        <f>D37/D32</f>
        <v>1</v>
      </c>
    </row>
    <row r="39" spans="1:6" x14ac:dyDescent="0.35">
      <c r="A39" s="127"/>
      <c r="B39" s="142" t="s">
        <v>215</v>
      </c>
      <c r="C39" s="131">
        <f>C32</f>
        <v>2962923</v>
      </c>
      <c r="D39" s="133"/>
    </row>
    <row r="40" spans="1:6" ht="58" x14ac:dyDescent="0.35">
      <c r="A40" s="127"/>
      <c r="B40" s="143" t="s">
        <v>216</v>
      </c>
      <c r="C40" s="131">
        <f>C39*D38</f>
        <v>2962923</v>
      </c>
      <c r="D40" s="133"/>
    </row>
    <row r="41" spans="1:6" x14ac:dyDescent="0.35">
      <c r="A41" s="127"/>
      <c r="B41" s="142" t="s">
        <v>217</v>
      </c>
      <c r="C41" s="136">
        <v>0.75</v>
      </c>
      <c r="D41" s="133"/>
    </row>
    <row r="42" spans="1:6" x14ac:dyDescent="0.35">
      <c r="A42" s="127"/>
      <c r="B42" s="142" t="s">
        <v>218</v>
      </c>
      <c r="C42" s="131">
        <f>C40*C41</f>
        <v>2222192.25</v>
      </c>
      <c r="D42" s="133"/>
    </row>
  </sheetData>
  <mergeCells count="1">
    <mergeCell ref="G3:G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038AC-6A04-4853-B83B-F496E0A10D0A}">
  <dimension ref="A2:AA60"/>
  <sheetViews>
    <sheetView workbookViewId="0">
      <selection activeCell="F31" sqref="F31"/>
    </sheetView>
  </sheetViews>
  <sheetFormatPr defaultRowHeight="14.5" x14ac:dyDescent="0.35"/>
  <cols>
    <col min="2" max="2" width="42.7265625" customWidth="1"/>
    <col min="3" max="3" width="10" customWidth="1"/>
    <col min="4" max="4" width="14.453125" customWidth="1"/>
    <col min="5" max="5" width="11" bestFit="1" customWidth="1"/>
    <col min="6" max="6" width="10.6328125" bestFit="1" customWidth="1"/>
    <col min="7" max="10" width="10.453125" bestFit="1" customWidth="1"/>
    <col min="11" max="25" width="11.453125" bestFit="1" customWidth="1"/>
  </cols>
  <sheetData>
    <row r="2" spans="1:27" x14ac:dyDescent="0.35">
      <c r="B2" s="23" t="s">
        <v>5</v>
      </c>
      <c r="C2" s="23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4" spans="1:27" x14ac:dyDescent="0.35">
      <c r="B4" s="97" t="s">
        <v>37</v>
      </c>
      <c r="C4" s="97" t="s">
        <v>165</v>
      </c>
      <c r="D4" s="97">
        <v>2024</v>
      </c>
      <c r="E4" s="97">
        <f>D4+1</f>
        <v>2025</v>
      </c>
      <c r="F4" s="97">
        <f t="shared" ref="F4:Y4" si="0">E4+1</f>
        <v>2026</v>
      </c>
      <c r="G4" s="97">
        <f t="shared" si="0"/>
        <v>2027</v>
      </c>
      <c r="H4" s="97">
        <f t="shared" si="0"/>
        <v>2028</v>
      </c>
      <c r="I4" s="97">
        <f t="shared" si="0"/>
        <v>2029</v>
      </c>
      <c r="J4" s="97">
        <f t="shared" si="0"/>
        <v>2030</v>
      </c>
      <c r="K4" s="97">
        <f t="shared" si="0"/>
        <v>2031</v>
      </c>
      <c r="L4" s="97">
        <f t="shared" si="0"/>
        <v>2032</v>
      </c>
      <c r="M4" s="97">
        <f t="shared" si="0"/>
        <v>2033</v>
      </c>
      <c r="N4" s="97">
        <f t="shared" si="0"/>
        <v>2034</v>
      </c>
      <c r="O4" s="97">
        <f t="shared" si="0"/>
        <v>2035</v>
      </c>
      <c r="P4" s="97">
        <f t="shared" si="0"/>
        <v>2036</v>
      </c>
      <c r="Q4" s="97">
        <f t="shared" si="0"/>
        <v>2037</v>
      </c>
      <c r="R4" s="97">
        <f t="shared" si="0"/>
        <v>2038</v>
      </c>
      <c r="S4" s="97">
        <f t="shared" si="0"/>
        <v>2039</v>
      </c>
      <c r="T4" s="97">
        <f t="shared" si="0"/>
        <v>2040</v>
      </c>
      <c r="U4" s="97">
        <f t="shared" si="0"/>
        <v>2041</v>
      </c>
      <c r="V4" s="97">
        <f t="shared" si="0"/>
        <v>2042</v>
      </c>
      <c r="W4" s="97">
        <f t="shared" si="0"/>
        <v>2043</v>
      </c>
      <c r="X4" s="97">
        <f t="shared" si="0"/>
        <v>2044</v>
      </c>
      <c r="Y4" s="97">
        <f t="shared" si="0"/>
        <v>2045</v>
      </c>
    </row>
    <row r="5" spans="1:27" x14ac:dyDescent="0.35">
      <c r="B5" s="10" t="s">
        <v>52</v>
      </c>
      <c r="C5" s="9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7" x14ac:dyDescent="0.35">
      <c r="B6" s="13" t="s">
        <v>53</v>
      </c>
      <c r="C6" s="13"/>
      <c r="D6" s="110"/>
      <c r="E6" s="32"/>
      <c r="F6" s="32">
        <v>5</v>
      </c>
      <c r="G6" s="32">
        <v>10</v>
      </c>
      <c r="H6" s="32">
        <v>15</v>
      </c>
      <c r="I6" s="32">
        <f>H6+5</f>
        <v>20</v>
      </c>
      <c r="J6" s="32">
        <f t="shared" ref="J6:Y6" si="1">I6+5</f>
        <v>25</v>
      </c>
      <c r="K6" s="32">
        <f t="shared" si="1"/>
        <v>30</v>
      </c>
      <c r="L6" s="32">
        <f t="shared" si="1"/>
        <v>35</v>
      </c>
      <c r="M6" s="32">
        <f t="shared" si="1"/>
        <v>40</v>
      </c>
      <c r="N6" s="32">
        <f t="shared" si="1"/>
        <v>45</v>
      </c>
      <c r="O6" s="32">
        <f t="shared" si="1"/>
        <v>50</v>
      </c>
      <c r="P6" s="32">
        <f t="shared" si="1"/>
        <v>55</v>
      </c>
      <c r="Q6" s="32">
        <f t="shared" si="1"/>
        <v>60</v>
      </c>
      <c r="R6" s="32">
        <f t="shared" si="1"/>
        <v>65</v>
      </c>
      <c r="S6" s="32">
        <f t="shared" si="1"/>
        <v>70</v>
      </c>
      <c r="T6" s="32">
        <f t="shared" si="1"/>
        <v>75</v>
      </c>
      <c r="U6" s="32">
        <f t="shared" si="1"/>
        <v>80</v>
      </c>
      <c r="V6" s="32">
        <f t="shared" si="1"/>
        <v>85</v>
      </c>
      <c r="W6" s="32">
        <f t="shared" si="1"/>
        <v>90</v>
      </c>
      <c r="X6" s="32">
        <f t="shared" si="1"/>
        <v>95</v>
      </c>
      <c r="Y6" s="32">
        <f t="shared" si="1"/>
        <v>100</v>
      </c>
    </row>
    <row r="7" spans="1:27" x14ac:dyDescent="0.35">
      <c r="B7" s="13" t="s">
        <v>188</v>
      </c>
      <c r="C7" s="13"/>
      <c r="D7" s="32">
        <f>3035*(1+Eeldused!$D$5)^2</f>
        <v>3289.569476446</v>
      </c>
      <c r="E7" s="32">
        <f>D7*(1+Eeldused!$D$5)</f>
        <v>3424.7529397455341</v>
      </c>
      <c r="F7" s="32">
        <f>E7*(1+Eeldused!$D$5)</f>
        <v>3565.4917101697561</v>
      </c>
      <c r="G7" s="32">
        <f>F7*(1+Eeldused!$D$5)</f>
        <v>3712.0140807102521</v>
      </c>
      <c r="H7" s="32">
        <f>G7*(1+Eeldused!$D$5)</f>
        <v>3864.5577259623319</v>
      </c>
      <c r="I7" s="32">
        <f>H7*(1+Eeldused!$D$5)</f>
        <v>4023.3700876580569</v>
      </c>
      <c r="J7" s="32">
        <f>I7*(1+Eeldused!$D$5)</f>
        <v>4188.7087760425866</v>
      </c>
      <c r="K7" s="32">
        <f>J7*(1+Eeldused!$D$5)</f>
        <v>4360.8419877449123</v>
      </c>
      <c r="L7" s="32">
        <f>K7*(1+Eeldused!$D$5)</f>
        <v>4540.048940820815</v>
      </c>
      <c r="M7" s="32">
        <f>L7*(1+Eeldused!$D$5)</f>
        <v>4726.6203276737269</v>
      </c>
      <c r="N7" s="32">
        <f>M7*(1+Eeldused!$D$5)</f>
        <v>4920.8587865881855</v>
      </c>
      <c r="O7" s="32">
        <f>N7*(1+Eeldused!$D$5)</f>
        <v>5123.0793926407514</v>
      </c>
      <c r="P7" s="32">
        <f>O7*(1+Eeldused!$D$5)</f>
        <v>5333.6101687847095</v>
      </c>
      <c r="Q7" s="32">
        <f>P7*(1+Eeldused!$D$5)</f>
        <v>5552.7926179375709</v>
      </c>
      <c r="R7" s="32">
        <f>Q7*(1+Eeldused!$D$5)</f>
        <v>5780.9822769344901</v>
      </c>
      <c r="S7" s="32">
        <f>R7*(1+Eeldused!$D$5)</f>
        <v>6018.5492932461639</v>
      </c>
      <c r="T7" s="32">
        <f>S7*(1+Eeldused!$D$5)</f>
        <v>6265.8790253967036</v>
      </c>
      <c r="U7" s="32">
        <f>T7*(1+Eeldused!$D$5)</f>
        <v>6523.3726680554282</v>
      </c>
      <c r="V7" s="32">
        <f>U7*(1+Eeldused!$D$5)</f>
        <v>6791.4479028165415</v>
      </c>
      <c r="W7" s="32">
        <f>V7*(1+Eeldused!$D$5)</f>
        <v>7070.5395757223196</v>
      </c>
      <c r="X7" s="32">
        <f>W7*(1+Eeldused!$D$5)</f>
        <v>7361.1004026288283</v>
      </c>
      <c r="Y7" s="32">
        <f>X7*(1+Eeldused!$D$5)</f>
        <v>7663.60170355835</v>
      </c>
    </row>
    <row r="8" spans="1:27" x14ac:dyDescent="0.35">
      <c r="B8" s="13" t="s">
        <v>9</v>
      </c>
      <c r="C8" s="13"/>
      <c r="D8" s="1">
        <f>Eeldused!D7</f>
        <v>0.2</v>
      </c>
      <c r="E8" s="1">
        <f t="shared" ref="E8:M8" si="2">D8</f>
        <v>0.2</v>
      </c>
      <c r="F8" s="1">
        <f t="shared" si="2"/>
        <v>0.2</v>
      </c>
      <c r="G8" s="1">
        <f t="shared" si="2"/>
        <v>0.2</v>
      </c>
      <c r="H8" s="1">
        <f t="shared" si="2"/>
        <v>0.2</v>
      </c>
      <c r="I8" s="1">
        <f t="shared" si="2"/>
        <v>0.2</v>
      </c>
      <c r="J8" s="1">
        <f t="shared" si="2"/>
        <v>0.2</v>
      </c>
      <c r="K8" s="1">
        <f t="shared" si="2"/>
        <v>0.2</v>
      </c>
      <c r="L8" s="1">
        <f t="shared" si="2"/>
        <v>0.2</v>
      </c>
      <c r="M8" s="1">
        <f t="shared" si="2"/>
        <v>0.2</v>
      </c>
      <c r="N8" s="1">
        <f t="shared" ref="N8:Y8" si="3">M8</f>
        <v>0.2</v>
      </c>
      <c r="O8" s="1">
        <f t="shared" si="3"/>
        <v>0.2</v>
      </c>
      <c r="P8" s="1">
        <f t="shared" si="3"/>
        <v>0.2</v>
      </c>
      <c r="Q8" s="1">
        <f t="shared" si="3"/>
        <v>0.2</v>
      </c>
      <c r="R8" s="1">
        <f t="shared" si="3"/>
        <v>0.2</v>
      </c>
      <c r="S8" s="1">
        <f t="shared" si="3"/>
        <v>0.2</v>
      </c>
      <c r="T8" s="1">
        <f t="shared" si="3"/>
        <v>0.2</v>
      </c>
      <c r="U8" s="1">
        <f t="shared" si="3"/>
        <v>0.2</v>
      </c>
      <c r="V8" s="1">
        <f t="shared" si="3"/>
        <v>0.2</v>
      </c>
      <c r="W8" s="1">
        <f t="shared" si="3"/>
        <v>0.2</v>
      </c>
      <c r="X8" s="1">
        <f t="shared" si="3"/>
        <v>0.2</v>
      </c>
      <c r="Y8" s="1">
        <f t="shared" si="3"/>
        <v>0.2</v>
      </c>
      <c r="Z8" s="1"/>
      <c r="AA8" s="1"/>
    </row>
    <row r="9" spans="1:27" x14ac:dyDescent="0.35">
      <c r="B9" s="13" t="s">
        <v>54</v>
      </c>
      <c r="C9" s="13"/>
      <c r="D9" s="32">
        <f t="shared" ref="D9:L9" si="4">IF(D7&lt;2100,7848-7848/10800*(D7*12-14400),0)</f>
        <v>0</v>
      </c>
      <c r="E9" s="32">
        <f t="shared" si="4"/>
        <v>0</v>
      </c>
      <c r="F9" s="32">
        <f t="shared" si="4"/>
        <v>0</v>
      </c>
      <c r="G9" s="32">
        <f t="shared" si="4"/>
        <v>0</v>
      </c>
      <c r="H9" s="32">
        <f t="shared" si="4"/>
        <v>0</v>
      </c>
      <c r="I9" s="32">
        <f t="shared" si="4"/>
        <v>0</v>
      </c>
      <c r="J9" s="32">
        <f t="shared" si="4"/>
        <v>0</v>
      </c>
      <c r="K9" s="32">
        <f t="shared" si="4"/>
        <v>0</v>
      </c>
      <c r="L9" s="32">
        <f t="shared" si="4"/>
        <v>0</v>
      </c>
      <c r="M9" s="32">
        <f t="shared" ref="M9:Y9" si="5">IF(M7&lt;2100,7848-7848/10800*(M7*12-14400),0)</f>
        <v>0</v>
      </c>
      <c r="N9" s="32">
        <f t="shared" si="5"/>
        <v>0</v>
      </c>
      <c r="O9" s="32">
        <f t="shared" si="5"/>
        <v>0</v>
      </c>
      <c r="P9" s="32">
        <f t="shared" si="5"/>
        <v>0</v>
      </c>
      <c r="Q9" s="32">
        <f t="shared" si="5"/>
        <v>0</v>
      </c>
      <c r="R9" s="32">
        <f t="shared" si="5"/>
        <v>0</v>
      </c>
      <c r="S9" s="32">
        <f t="shared" si="5"/>
        <v>0</v>
      </c>
      <c r="T9" s="32">
        <f t="shared" si="5"/>
        <v>0</v>
      </c>
      <c r="U9" s="32">
        <f t="shared" si="5"/>
        <v>0</v>
      </c>
      <c r="V9" s="32">
        <f t="shared" si="5"/>
        <v>0</v>
      </c>
      <c r="W9" s="32">
        <f t="shared" si="5"/>
        <v>0</v>
      </c>
      <c r="X9" s="32">
        <f t="shared" si="5"/>
        <v>0</v>
      </c>
      <c r="Y9" s="32">
        <f t="shared" si="5"/>
        <v>0</v>
      </c>
      <c r="Z9" s="19"/>
    </row>
    <row r="10" spans="1:27" x14ac:dyDescent="0.35">
      <c r="B10" s="14" t="s">
        <v>55</v>
      </c>
      <c r="C10" s="14"/>
      <c r="D10" s="32">
        <f>(D6*D7*12-D9*D6)*D8+('Tulud-Kulud'!C16*'Tulud-Kulud'!C15*12-D9*'Tulud-Kulud'!C16)*D8</f>
        <v>0</v>
      </c>
      <c r="E10" s="32">
        <f>(E6*E7*12-E9*E6)*E8+('Tulud-Kulud'!D16*'Tulud-Kulud'!D15*12-E9*'Tulud-Kulud'!D16)*E8</f>
        <v>10944</v>
      </c>
      <c r="F10" s="32">
        <f>(F6*F7*12-F9*F6)*F8+('Tulud-Kulud'!E16*'Tulud-Kulud'!E15*12-F9*'Tulud-Kulud'!E16)*F8</f>
        <v>59201.900522037075</v>
      </c>
      <c r="G10" s="32">
        <f>(G6*G7*12-G9*G6)*G8+('Tulud-Kulud'!F16*'Tulud-Kulud'!F15*12-G9*'Tulud-Kulud'!F16)*G8</f>
        <v>106178.94649886999</v>
      </c>
      <c r="H10" s="32">
        <f>(H6*H7*12-H9*H6)*H8+('Tulud-Kulud'!G16*'Tulud-Kulud'!G15*12-H9*'Tulud-Kulud'!G16)*H8</f>
        <v>156917.01801119666</v>
      </c>
      <c r="I10" s="32">
        <f>(I6*I7*12-I9*I6)*I8+('Tulud-Kulud'!H16*'Tulud-Kulud'!H15*12-I9*'Tulud-Kulud'!H16)*I8</f>
        <v>211645.89740655303</v>
      </c>
      <c r="J10" s="32">
        <f>(J6*J7*12-J9*J6)*J8+('Tulud-Kulud'!I16*'Tulud-Kulud'!I15*12-J9*'Tulud-Kulud'!I16)*J8</f>
        <v>270607.901163592</v>
      </c>
      <c r="K10" s="32">
        <f>(K6*K7*12-K9*K6)*K8+('Tulud-Kulud'!J16*'Tulud-Kulud'!J15*12-K9*'Tulud-Kulud'!J16)*K8</f>
        <v>334058.52201349515</v>
      </c>
      <c r="L10" s="32">
        <f>(L6*L7*12-L9*L6)*L8+('Tulud-Kulud'!K16*'Tulud-Kulud'!K15*12-L9*'Tulud-Kulud'!K16)*L8</f>
        <v>402267.10266960663</v>
      </c>
      <c r="M10" s="32">
        <f>(M6*M7*12-M9*M6)*M8+('Tulud-Kulud'!L16*'Tulud-Kulud'!L15*12-M9*'Tulud-Kulud'!L16)*M8</f>
        <v>475517.54267875187</v>
      </c>
      <c r="N10" s="32">
        <f>(N6*N7*12-N9*N6)*N8+('Tulud-Kulud'!M16*'Tulud-Kulud'!M15*12-N9*'Tulud-Kulud'!M16)*N8</f>
        <v>554109.03997871187</v>
      </c>
      <c r="O10" s="32">
        <f>(O6*O7*12-O9*O6)*O8+('Tulud-Kulud'!N16*'Tulud-Kulud'!N15*12-O9*'Tulud-Kulud'!N16)*O8</f>
        <v>638356.86882062012</v>
      </c>
      <c r="P10" s="32">
        <f>(P6*P7*12-P9*P6)*P8+('Tulud-Kulud'!O16*'Tulud-Kulud'!O15*12-P9*'Tulud-Kulud'!O16)*P8</f>
        <v>728593.19579276617</v>
      </c>
      <c r="Q10" s="32">
        <f>(Q6*Q7*12-Q9*Q6)*Q8+('Tulud-Kulud'!P16*'Tulud-Kulud'!P15*12-Q9*'Tulud-Kulud'!P16)*Q8</f>
        <v>825167.93576360075</v>
      </c>
      <c r="R10" s="32">
        <f>(R6*R7*12-R9*R6)*R8+('Tulud-Kulud'!Q16*'Tulud-Kulud'!Q15*12-R9*'Tulud-Kulud'!Q16)*R8</f>
        <v>928449.6496467992</v>
      </c>
      <c r="S10" s="32">
        <f>(S6*S7*12-S9*S6)*S8+('Tulud-Kulud'!R16*'Tulud-Kulud'!R15*12-S9*'Tulud-Kulud'!R16)*S8</f>
        <v>1038826.4859802125</v>
      </c>
      <c r="T10" s="32">
        <f>(T6*T7*12-T9*T6)*T8+('Tulud-Kulud'!S16*'Tulud-Kulud'!S15*12-T9*'Tulud-Kulud'!S16)*T8</f>
        <v>1156707.1684036208</v>
      </c>
      <c r="U10" s="32">
        <f>(U6*U7*12-U9*U6)*U8+('Tulud-Kulud'!T16*'Tulud-Kulud'!T15*12-U9*'Tulud-Kulud'!T16)*U8</f>
        <v>1282522.031217569</v>
      </c>
      <c r="V10" s="32">
        <f>(V6*V7*12-V9*V6)*V8+('Tulud-Kulud'!U16*'Tulud-Kulud'!U15*12-V9*'Tulud-Kulud'!U16)*V8</f>
        <v>1416724.1053074102</v>
      </c>
      <c r="W10" s="32">
        <f>(W6*W7*12-W9*W6)*W8+('Tulud-Kulud'!V16*'Tulud-Kulud'!V15*12-W9*'Tulud-Kulud'!V16)*W8</f>
        <v>1559790.2568232135</v>
      </c>
      <c r="X10" s="32">
        <f>(X6*X7*12-X9*X6)*X8+('Tulud-Kulud'!W16*'Tulud-Kulud'!W15*12-X9*'Tulud-Kulud'!W16)*X8</f>
        <v>1712222.381117631</v>
      </c>
      <c r="Y10" s="32">
        <f>(Y6*Y7*12-Y9*Y6)*Y8+('Tulud-Kulud'!X16*'Tulud-Kulud'!X15*12-Y9*'Tulud-Kulud'!X16)*Y8</f>
        <v>1874548.6545603625</v>
      </c>
    </row>
    <row r="11" spans="1:27" x14ac:dyDescent="0.35">
      <c r="B11" s="14" t="s">
        <v>56</v>
      </c>
      <c r="C11" s="14"/>
      <c r="D11" s="32">
        <f>D6*D7*12*0.33+'Tulud-Kulud'!C16*'Tulud-Kulud'!C15*12*0.33</f>
        <v>0</v>
      </c>
      <c r="E11" s="32">
        <f>E6*E7*12*0.33+'Tulud-Kulud'!D16*'Tulud-Kulud'!D15*12*0.33</f>
        <v>18057.600000000002</v>
      </c>
      <c r="F11" s="32">
        <f>F6*F7*12*0.33+'Tulud-Kulud'!E16*'Tulud-Kulud'!E15*12*0.33</f>
        <v>97683.135861361166</v>
      </c>
      <c r="G11" s="32">
        <f>G6*G7*12*0.33+'Tulud-Kulud'!F16*'Tulud-Kulud'!F15*12*0.33</f>
        <v>175195.26172313548</v>
      </c>
      <c r="H11" s="32">
        <f>H6*H7*12*0.33+'Tulud-Kulud'!G16*'Tulud-Kulud'!G15*12*0.33</f>
        <v>258913.0797184745</v>
      </c>
      <c r="I11" s="32">
        <f>I6*I7*12*0.33+'Tulud-Kulud'!H16*'Tulud-Kulud'!H15*12*0.33</f>
        <v>349215.73072081245</v>
      </c>
      <c r="J11" s="32">
        <f>J6*J7*12*0.33+'Tulud-Kulud'!I16*'Tulud-Kulud'!I15*12*0.33</f>
        <v>446503.03691992682</v>
      </c>
      <c r="K11" s="32">
        <f>K6*K7*12*0.33+'Tulud-Kulud'!J16*'Tulud-Kulud'!J15*12*0.33</f>
        <v>551196.56132226705</v>
      </c>
      <c r="L11" s="32">
        <f>L6*L7*12*0.33+'Tulud-Kulud'!K16*'Tulud-Kulud'!K15*12*0.33</f>
        <v>663740.71940485097</v>
      </c>
      <c r="M11" s="32">
        <f>M6*M7*12*0.33+'Tulud-Kulud'!L16*'Tulud-Kulud'!L15*12*0.33</f>
        <v>784603.94541994052</v>
      </c>
      <c r="N11" s="32">
        <f>N6*N7*12*0.33+'Tulud-Kulud'!M16*'Tulud-Kulud'!M15*12*0.33</f>
        <v>914279.91596487467</v>
      </c>
      <c r="O11" s="32">
        <f>O6*O7*12*0.33+'Tulud-Kulud'!N16*'Tulud-Kulud'!N15*12*0.33</f>
        <v>1053288.8335540232</v>
      </c>
      <c r="P11" s="32">
        <f>P6*P7*12*0.33+'Tulud-Kulud'!O16*'Tulud-Kulud'!O15*12*0.33</f>
        <v>1202178.773058064</v>
      </c>
      <c r="Q11" s="32">
        <f>Q6*Q7*12*0.33+'Tulud-Kulud'!P16*'Tulud-Kulud'!P15*12*0.33</f>
        <v>1361527.0940099412</v>
      </c>
      <c r="R11" s="32">
        <f>R6*R7*12*0.33+'Tulud-Kulud'!Q16*'Tulud-Kulud'!Q15*12*0.33</f>
        <v>1531941.9219172187</v>
      </c>
      <c r="S11" s="32">
        <f>S6*S7*12*0.33+'Tulud-Kulud'!R16*'Tulud-Kulud'!R15*12*0.33</f>
        <v>1714063.7018673504</v>
      </c>
      <c r="T11" s="32">
        <f>T6*T7*12*0.33+'Tulud-Kulud'!S16*'Tulud-Kulud'!S15*12*0.33</f>
        <v>1908566.8278659743</v>
      </c>
      <c r="U11" s="32">
        <f>U6*U7*12*0.33+'Tulud-Kulud'!T16*'Tulud-Kulud'!T15*12*0.33</f>
        <v>2116161.351508989</v>
      </c>
      <c r="V11" s="32">
        <f>V6*V7*12*0.33+'Tulud-Kulud'!U16*'Tulud-Kulud'!U15*12*0.33</f>
        <v>2337594.7737572268</v>
      </c>
      <c r="W11" s="32">
        <f>W6*W7*12*0.33+'Tulud-Kulud'!V16*'Tulud-Kulud'!V15*12*0.33</f>
        <v>2573653.9237583023</v>
      </c>
      <c r="X11" s="32">
        <f>X6*X7*12*0.33+'Tulud-Kulud'!W16*'Tulud-Kulud'!W15*12*0.33</f>
        <v>2825166.9288440915</v>
      </c>
      <c r="Y11" s="32">
        <f>Y6*Y7*12*0.33+'Tulud-Kulud'!X16*'Tulud-Kulud'!X15*12*0.33</f>
        <v>3093005.2800245979</v>
      </c>
    </row>
    <row r="12" spans="1:27" ht="29" x14ac:dyDescent="0.35">
      <c r="B12" s="15" t="s">
        <v>57</v>
      </c>
      <c r="C12" s="15"/>
      <c r="D12" s="32">
        <f t="shared" ref="D12:L12" si="6">SUM(D10:D11)</f>
        <v>0</v>
      </c>
      <c r="E12" s="32">
        <f t="shared" si="6"/>
        <v>29001.600000000002</v>
      </c>
      <c r="F12" s="32">
        <f t="shared" si="6"/>
        <v>156885.03638339823</v>
      </c>
      <c r="G12" s="32">
        <f t="shared" si="6"/>
        <v>281374.20822200546</v>
      </c>
      <c r="H12" s="32">
        <f t="shared" si="6"/>
        <v>415830.09772967116</v>
      </c>
      <c r="I12" s="32">
        <f t="shared" si="6"/>
        <v>560861.62812736549</v>
      </c>
      <c r="J12" s="32">
        <f t="shared" si="6"/>
        <v>717110.93808351876</v>
      </c>
      <c r="K12" s="32">
        <f t="shared" si="6"/>
        <v>885255.08333576214</v>
      </c>
      <c r="L12" s="32">
        <f t="shared" si="6"/>
        <v>1066007.8220744575</v>
      </c>
      <c r="M12" s="32">
        <f t="shared" ref="M12:Y12" si="7">SUM(M10:M11)</f>
        <v>1260121.4880986924</v>
      </c>
      <c r="N12" s="32">
        <f t="shared" si="7"/>
        <v>1468388.9559435865</v>
      </c>
      <c r="O12" s="32">
        <f t="shared" si="7"/>
        <v>1691645.7023746432</v>
      </c>
      <c r="P12" s="32">
        <f t="shared" si="7"/>
        <v>1930771.9688508301</v>
      </c>
      <c r="Q12" s="32">
        <f t="shared" si="7"/>
        <v>2186695.0297735417</v>
      </c>
      <c r="R12" s="32">
        <f t="shared" si="7"/>
        <v>2460391.5715640178</v>
      </c>
      <c r="S12" s="32">
        <f t="shared" si="7"/>
        <v>2752890.1878475631</v>
      </c>
      <c r="T12" s="32">
        <f t="shared" si="7"/>
        <v>3065273.9962695949</v>
      </c>
      <c r="U12" s="32">
        <f t="shared" si="7"/>
        <v>3398683.382726558</v>
      </c>
      <c r="V12" s="32">
        <f t="shared" si="7"/>
        <v>3754318.8790646372</v>
      </c>
      <c r="W12" s="32">
        <f t="shared" si="7"/>
        <v>4133444.1805815157</v>
      </c>
      <c r="X12" s="32">
        <f t="shared" si="7"/>
        <v>4537389.3099617222</v>
      </c>
      <c r="Y12" s="32">
        <f t="shared" si="7"/>
        <v>4967553.9345849603</v>
      </c>
    </row>
    <row r="13" spans="1:27" x14ac:dyDescent="0.35">
      <c r="B13" s="123" t="s">
        <v>191</v>
      </c>
      <c r="C13" s="123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</row>
    <row r="14" spans="1:27" x14ac:dyDescent="0.35">
      <c r="B14" s="16" t="s">
        <v>60</v>
      </c>
      <c r="C14" s="16"/>
      <c r="D14" s="32"/>
      <c r="E14" s="32">
        <f>50*0.3</f>
        <v>15</v>
      </c>
      <c r="F14" s="32">
        <f>50*0.3</f>
        <v>15</v>
      </c>
      <c r="G14" s="32">
        <f>100*0.3</f>
        <v>30</v>
      </c>
      <c r="H14" s="32">
        <f t="shared" ref="H14:Y14" si="8">G14</f>
        <v>30</v>
      </c>
      <c r="I14" s="32">
        <f t="shared" si="8"/>
        <v>30</v>
      </c>
      <c r="J14" s="32">
        <f t="shared" si="8"/>
        <v>30</v>
      </c>
      <c r="K14" s="32">
        <f t="shared" ref="K14" si="9">J14</f>
        <v>30</v>
      </c>
      <c r="L14" s="32">
        <f t="shared" si="8"/>
        <v>30</v>
      </c>
      <c r="M14" s="32">
        <f t="shared" si="8"/>
        <v>30</v>
      </c>
      <c r="N14" s="32">
        <f t="shared" si="8"/>
        <v>30</v>
      </c>
      <c r="O14" s="32">
        <f t="shared" si="8"/>
        <v>30</v>
      </c>
      <c r="P14" s="32">
        <f t="shared" si="8"/>
        <v>30</v>
      </c>
      <c r="Q14" s="32">
        <f t="shared" si="8"/>
        <v>30</v>
      </c>
      <c r="R14" s="32">
        <f t="shared" si="8"/>
        <v>30</v>
      </c>
      <c r="S14" s="32">
        <f t="shared" si="8"/>
        <v>30</v>
      </c>
      <c r="T14" s="32">
        <f t="shared" si="8"/>
        <v>30</v>
      </c>
      <c r="U14" s="32">
        <f t="shared" si="8"/>
        <v>30</v>
      </c>
      <c r="V14" s="32">
        <f t="shared" si="8"/>
        <v>30</v>
      </c>
      <c r="W14" s="32">
        <f t="shared" si="8"/>
        <v>30</v>
      </c>
      <c r="X14" s="32">
        <f t="shared" si="8"/>
        <v>30</v>
      </c>
      <c r="Y14" s="32">
        <f t="shared" si="8"/>
        <v>30</v>
      </c>
    </row>
    <row r="15" spans="1:27" x14ac:dyDescent="0.35">
      <c r="B15" s="16" t="s">
        <v>183</v>
      </c>
      <c r="C15" s="16"/>
      <c r="D15" s="32"/>
      <c r="E15" s="32">
        <v>2700</v>
      </c>
      <c r="F15" s="32">
        <f>E15*(1+Eeldused!$D$4)</f>
        <v>2751.9995454545451</v>
      </c>
      <c r="G15" s="32">
        <f>F15*(1+Eeldused!$D$4)</f>
        <v>2805.000554882231</v>
      </c>
      <c r="H15" s="32">
        <f>G15*(1+Eeldused!$D$4)</f>
        <v>2859.0223155687581</v>
      </c>
      <c r="I15" s="32">
        <f>H15*(1+Eeldused!$D$4)</f>
        <v>2914.0844862554163</v>
      </c>
      <c r="J15" s="32">
        <f>I15*(1+Eeldused!$D$4)</f>
        <v>2970.2071042929806</v>
      </c>
      <c r="K15" s="32">
        <f>J15*(1+Eeldused!$D$4)</f>
        <v>3027.4105929333864</v>
      </c>
      <c r="L15" s="32">
        <f>K15*(1+Eeldused!$D$4)</f>
        <v>3085.7157687618351</v>
      </c>
      <c r="M15" s="32">
        <f>L15*(1+Eeldused!$D$4)</f>
        <v>3145.1438492720345</v>
      </c>
      <c r="N15" s="32">
        <f>M15*(1+Eeldused!$D$4)</f>
        <v>3205.7164605873327</v>
      </c>
      <c r="O15" s="32">
        <f>N15*(1+Eeldused!$D$4)</f>
        <v>3267.4556453305531</v>
      </c>
      <c r="P15" s="32">
        <f>O15*(1+Eeldused!$D$4)</f>
        <v>3330.3838706453962</v>
      </c>
      <c r="Q15" s="32">
        <f>P15*(1+Eeldused!$D$4)</f>
        <v>3394.5240363723256</v>
      </c>
      <c r="R15" s="32">
        <f>Q15*(1+Eeldused!$D$4)</f>
        <v>3459.8994833819143</v>
      </c>
      <c r="S15" s="32">
        <f>R15*(1+Eeldused!$D$4)</f>
        <v>3526.5340020686831</v>
      </c>
      <c r="T15" s="32">
        <f>S15*(1+Eeldused!$D$4)</f>
        <v>3594.4518410085238</v>
      </c>
      <c r="U15" s="32">
        <f>T15*(1+Eeldused!$D$4)</f>
        <v>3663.677715782856</v>
      </c>
      <c r="V15" s="32">
        <f>U15*(1+Eeldused!$D$4)</f>
        <v>3734.2368179727282</v>
      </c>
      <c r="W15" s="32">
        <f>V15*(1+Eeldused!$D$4)</f>
        <v>3806.1548243261391</v>
      </c>
      <c r="X15" s="32">
        <f>W15*(1+Eeldused!$D$4)</f>
        <v>3879.4579061019108</v>
      </c>
      <c r="Y15" s="32">
        <f>X15*(1+Eeldused!$D$4)</f>
        <v>3954.1727385935187</v>
      </c>
    </row>
    <row r="16" spans="1:27" x14ac:dyDescent="0.35">
      <c r="A16" s="12"/>
      <c r="B16" s="17" t="s">
        <v>184</v>
      </c>
      <c r="C16" s="17"/>
      <c r="D16" s="115">
        <f t="shared" ref="D16:Y16" si="10">D14*D15*$E$59</f>
        <v>0</v>
      </c>
      <c r="E16" s="115">
        <f>E14*E15/12*4*$E$59</f>
        <v>3581.6373698885754</v>
      </c>
      <c r="F16" s="115">
        <f>F14*F15*$E$59+E16</f>
        <v>14533.486718684544</v>
      </c>
      <c r="G16" s="115">
        <f t="shared" si="10"/>
        <v>22325.544022054197</v>
      </c>
      <c r="H16" s="115">
        <f t="shared" si="10"/>
        <v>22755.513703969849</v>
      </c>
      <c r="I16" s="115">
        <f t="shared" si="10"/>
        <v>23193.764211077669</v>
      </c>
      <c r="J16" s="115">
        <f t="shared" si="10"/>
        <v>23640.455024542829</v>
      </c>
      <c r="K16" s="115">
        <f t="shared" si="10"/>
        <v>24095.74869699277</v>
      </c>
      <c r="L16" s="115">
        <f t="shared" si="10"/>
        <v>24559.81091167076</v>
      </c>
      <c r="M16" s="115">
        <f t="shared" si="10"/>
        <v>25032.810542728712</v>
      </c>
      <c r="N16" s="115">
        <f t="shared" si="10"/>
        <v>25514.919716681172</v>
      </c>
      <c r="O16" s="115">
        <f t="shared" si="10"/>
        <v>26006.313875042888</v>
      </c>
      <c r="P16" s="115">
        <f t="shared" si="10"/>
        <v>26507.17183817269</v>
      </c>
      <c r="Q16" s="115">
        <f t="shared" si="10"/>
        <v>27017.67587034695</v>
      </c>
      <c r="R16" s="115">
        <f t="shared" si="10"/>
        <v>27538.011746086311</v>
      </c>
      <c r="S16" s="115">
        <f t="shared" si="10"/>
        <v>28068.368817759798</v>
      </c>
      <c r="T16" s="115">
        <f t="shared" si="10"/>
        <v>28608.940084490929</v>
      </c>
      <c r="U16" s="115">
        <f t="shared" si="10"/>
        <v>29159.922262390872</v>
      </c>
      <c r="V16" s="115">
        <f t="shared" si="10"/>
        <v>29721.51585614428</v>
      </c>
      <c r="W16" s="115">
        <f t="shared" si="10"/>
        <v>30293.925231973742</v>
      </c>
      <c r="X16" s="115">
        <f t="shared" si="10"/>
        <v>30877.358692009529</v>
      </c>
      <c r="Y16" s="115">
        <f t="shared" si="10"/>
        <v>31472.028550091549</v>
      </c>
    </row>
    <row r="17" spans="1:27" x14ac:dyDescent="0.35">
      <c r="A17" s="1"/>
      <c r="B17" s="14" t="s">
        <v>61</v>
      </c>
      <c r="C17" s="14"/>
      <c r="D17" s="32">
        <f>D12+D16</f>
        <v>0</v>
      </c>
      <c r="E17" s="32">
        <f t="shared" ref="E17:Y17" si="11">E12+E16</f>
        <v>32583.237369888579</v>
      </c>
      <c r="F17" s="32">
        <f t="shared" si="11"/>
        <v>171418.52310208278</v>
      </c>
      <c r="G17" s="32">
        <f t="shared" si="11"/>
        <v>303699.75224405964</v>
      </c>
      <c r="H17" s="32">
        <f t="shared" si="11"/>
        <v>438585.611433641</v>
      </c>
      <c r="I17" s="32">
        <f t="shared" si="11"/>
        <v>584055.3923384432</v>
      </c>
      <c r="J17" s="32">
        <f t="shared" si="11"/>
        <v>740751.39310806163</v>
      </c>
      <c r="K17" s="32">
        <f t="shared" si="11"/>
        <v>909350.8320327549</v>
      </c>
      <c r="L17" s="32">
        <f t="shared" si="11"/>
        <v>1090567.6329861283</v>
      </c>
      <c r="M17" s="32">
        <f t="shared" si="11"/>
        <v>1285154.2986414211</v>
      </c>
      <c r="N17" s="32">
        <f t="shared" si="11"/>
        <v>1493903.8756602677</v>
      </c>
      <c r="O17" s="32">
        <f t="shared" si="11"/>
        <v>1717652.016249686</v>
      </c>
      <c r="P17" s="32">
        <f t="shared" si="11"/>
        <v>1957279.1406890028</v>
      </c>
      <c r="Q17" s="32">
        <f t="shared" si="11"/>
        <v>2213712.7056438886</v>
      </c>
      <c r="R17" s="32">
        <f t="shared" si="11"/>
        <v>2487929.583310104</v>
      </c>
      <c r="S17" s="32">
        <f t="shared" si="11"/>
        <v>2780958.5566653227</v>
      </c>
      <c r="T17" s="32">
        <f t="shared" si="11"/>
        <v>3093882.9363540858</v>
      </c>
      <c r="U17" s="32">
        <f t="shared" si="11"/>
        <v>3427843.3049889491</v>
      </c>
      <c r="V17" s="32">
        <f t="shared" si="11"/>
        <v>3784040.3949207817</v>
      </c>
      <c r="W17" s="32">
        <f t="shared" si="11"/>
        <v>4163738.1058134893</v>
      </c>
      <c r="X17" s="32">
        <f t="shared" si="11"/>
        <v>4568266.6686537322</v>
      </c>
      <c r="Y17" s="32">
        <f t="shared" si="11"/>
        <v>4999025.9631350515</v>
      </c>
    </row>
    <row r="18" spans="1:27" x14ac:dyDescent="0.35">
      <c r="A18" s="12"/>
      <c r="B18" s="16" t="s">
        <v>62</v>
      </c>
      <c r="C18" s="109">
        <v>1</v>
      </c>
      <c r="D18" s="32">
        <f>Tasuvus_kokku!C9</f>
        <v>0</v>
      </c>
      <c r="E18" s="32">
        <f>Tasuvus_kokku!D9</f>
        <v>0</v>
      </c>
      <c r="F18" s="32">
        <f>Tasuvus_kokku!E9</f>
        <v>5400</v>
      </c>
      <c r="G18" s="32">
        <f>Tasuvus_kokku!F9</f>
        <v>145503.99909090908</v>
      </c>
      <c r="H18" s="32">
        <f>Tasuvus_kokku!G9</f>
        <v>148306.27383703718</v>
      </c>
      <c r="I18" s="32">
        <f>Tasuvus_kokku!H9</f>
        <v>151162.51784725318</v>
      </c>
      <c r="J18" s="32">
        <f>Tasuvus_kokku!I9</f>
        <v>154073.77052052051</v>
      </c>
      <c r="K18" s="32">
        <f>Tasuvus_kokku!J9</f>
        <v>157041.09127368158</v>
      </c>
      <c r="L18" s="32">
        <f>Tasuvus_kokku!K9</f>
        <v>160065.55992698428</v>
      </c>
      <c r="M18" s="32">
        <f>Tasuvus_kokku!L9</f>
        <v>163148.27709703258</v>
      </c>
      <c r="N18" s="32">
        <f>Tasuvus_kokku!M9</f>
        <v>166290.36459730586</v>
      </c>
      <c r="O18" s="32">
        <f>Tasuvus_kokku!N9</f>
        <v>169492.96584639122</v>
      </c>
      <c r="P18" s="32">
        <f>Tasuvus_kokku!O9</f>
        <v>172757.24628407831</v>
      </c>
      <c r="Q18" s="32">
        <f>Tasuvus_kokku!P9</f>
        <v>176084.39379546756</v>
      </c>
      <c r="R18" s="32">
        <f>Tasuvus_kokku!Q9</f>
        <v>179475.61914324664</v>
      </c>
      <c r="S18" s="32">
        <f>Tasuvus_kokku!R9</f>
        <v>182932.1564082918</v>
      </c>
      <c r="T18" s="32">
        <f>Tasuvus_kokku!S9</f>
        <v>186455.26343875512</v>
      </c>
      <c r="U18" s="32">
        <f>Tasuvus_kokku!T9</f>
        <v>190046.22230780058</v>
      </c>
      <c r="V18" s="32">
        <f>Tasuvus_kokku!U9</f>
        <v>193706.33978015577</v>
      </c>
      <c r="W18" s="32">
        <f>Tasuvus_kokku!V9</f>
        <v>197436.94778764903</v>
      </c>
      <c r="X18" s="32">
        <f>Tasuvus_kokku!W9</f>
        <v>201239.40391390477</v>
      </c>
      <c r="Y18" s="32">
        <f>Tasuvus_kokku!X9</f>
        <v>205115.09188837392</v>
      </c>
    </row>
    <row r="19" spans="1:27" x14ac:dyDescent="0.35">
      <c r="B19" s="16" t="s">
        <v>63</v>
      </c>
      <c r="C19" s="109">
        <f>C35</f>
        <v>0.97464845711165438</v>
      </c>
      <c r="D19" s="32">
        <f>Tasuvus_kokku!C10*$C$19</f>
        <v>0</v>
      </c>
      <c r="E19" s="32">
        <f>Tasuvus_kokku!D10*$C$19</f>
        <v>-6497.6563807443526</v>
      </c>
      <c r="F19" s="32">
        <f>Tasuvus_kokku!E10*$C$19</f>
        <v>-19492.969142233087</v>
      </c>
      <c r="G19" s="32">
        <f>Tasuvus_kokku!F10*$C$19</f>
        <v>-253802.98286479077</v>
      </c>
      <c r="H19" s="32">
        <f>Tasuvus_kokku!G10*$C$19</f>
        <v>-261124.29106202311</v>
      </c>
      <c r="I19" s="32">
        <f>Tasuvus_kokku!H10*$C$19</f>
        <v>-268686.59616345749</v>
      </c>
      <c r="J19" s="32">
        <f>Tasuvus_kokku!I10*$C$19</f>
        <v>-276498.64880926319</v>
      </c>
      <c r="K19" s="32">
        <f>Tasuvus_kokku!J10*$C$19</f>
        <v>-284569.53703723603</v>
      </c>
      <c r="L19" s="32">
        <f>Tasuvus_kokku!K10*$C$19</f>
        <v>-292908.69972033933</v>
      </c>
      <c r="M19" s="32">
        <f>Tasuvus_kokku!L10*$C$19</f>
        <v>-301525.94054821762</v>
      </c>
      <c r="N19" s="32">
        <f>Tasuvus_kokku!M10*$C$19</f>
        <v>-310431.4425748809</v>
      </c>
      <c r="O19" s="32">
        <f>Tasuvus_kokku!N10*$C$19</f>
        <v>-319635.78335566173</v>
      </c>
      <c r="P19" s="32">
        <f>Tasuvus_kokku!O10*$C$19</f>
        <v>-329149.95069749764</v>
      </c>
      <c r="Q19" s="32">
        <f>Tasuvus_kokku!P10*$C$19</f>
        <v>-338985.35904757614</v>
      </c>
      <c r="R19" s="32">
        <f>Tasuvus_kokku!Q10*$C$19</f>
        <v>-349153.86654640123</v>
      </c>
      <c r="S19" s="32">
        <f>Tasuvus_kokku!R10*$C$19</f>
        <v>-359667.79277241568</v>
      </c>
      <c r="T19" s="32">
        <f>Tasuvus_kokku!S10*$C$19</f>
        <v>-370539.93720641546</v>
      </c>
      <c r="U19" s="32">
        <f>Tasuvus_kokku!T10*$C$19</f>
        <v>-381783.59844515845</v>
      </c>
      <c r="V19" s="32">
        <f>Tasuvus_kokku!U10*$C$19</f>
        <v>-393412.59419476875</v>
      </c>
      <c r="W19" s="32">
        <f>Tasuvus_kokku!V10*$C$19</f>
        <v>-405441.28207579255</v>
      </c>
      <c r="X19" s="32">
        <f>Tasuvus_kokku!W10*$C$19</f>
        <v>-417884.58127307118</v>
      </c>
      <c r="Y19" s="32">
        <f>Tasuvus_kokku!X10*$C$19</f>
        <v>-430757.99506495049</v>
      </c>
    </row>
    <row r="20" spans="1:27" x14ac:dyDescent="0.35">
      <c r="B20" s="16" t="s">
        <v>64</v>
      </c>
      <c r="C20" s="16"/>
      <c r="D20" s="32">
        <f>SUM(D21:D24)</f>
        <v>-198436.88408162672</v>
      </c>
      <c r="E20" s="32">
        <f t="shared" ref="E20:F20" si="12">SUM(E21:E24)</f>
        <v>-1669773.5585865206</v>
      </c>
      <c r="F20" s="32">
        <f t="shared" si="12"/>
        <v>-203051.76189826135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7" x14ac:dyDescent="0.35">
      <c r="B21" s="108" t="s">
        <v>19</v>
      </c>
      <c r="C21" s="109">
        <f>C37</f>
        <v>0.80644511997815793</v>
      </c>
      <c r="D21" s="32">
        <f>-(Eelarve_kool!E6+Tasuvus_majutus!L6)*$C$21</f>
        <v>-104837.86559716053</v>
      </c>
      <c r="E21" s="32">
        <f>-(Eelarve_kool!F6+Tasuvus_majutus!M6)*$C$21</f>
        <v>-1186321.0937438693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7" x14ac:dyDescent="0.35">
      <c r="B22" s="108" t="s">
        <v>18</v>
      </c>
      <c r="C22" s="109">
        <f>C40</f>
        <v>0.55886039999999992</v>
      </c>
      <c r="D22" s="32">
        <f>-(Eelarve_kool!E5+Tasuvus_majutus!L5)*$C$22</f>
        <v>-50576.866199999989</v>
      </c>
      <c r="E22" s="32">
        <f>-(Eelarve_kool!F5+Tasuvus_majutus!M5)*$C$22</f>
        <v>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:27" x14ac:dyDescent="0.35">
      <c r="B23" s="108" t="s">
        <v>20</v>
      </c>
      <c r="C23" s="109">
        <f>C36</f>
        <v>0.62095599999999984</v>
      </c>
      <c r="D23" s="32">
        <f>-(Eelarve_kool!E7+Tasuvus_majutus!L7)*$C$23</f>
        <v>-4036.213999999999</v>
      </c>
      <c r="E23" s="32">
        <f>-(Eelarve_kool!F7+Tasuvus_majutus!M7)*$C$23</f>
        <v>-45672.866189999986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  <row r="24" spans="1:27" x14ac:dyDescent="0.35">
      <c r="B24" s="120" t="s">
        <v>51</v>
      </c>
      <c r="C24" s="121">
        <f>C35</f>
        <v>0.97464845711165438</v>
      </c>
      <c r="D24" s="33">
        <f>-(Eelarve_kool!E9+Tasuvus_majutus!L8+Tasuvus_kokku!C5/(1+Eeldused!D6))*$C$24</f>
        <v>-38985.938284466174</v>
      </c>
      <c r="E24" s="33">
        <f>-(Eelarve_kool!F9+Tasuvus_majutus!M8+Tasuvus_kokku!D5/(1+Eeldused!D6))*$C$24</f>
        <v>-437779.59865265142</v>
      </c>
      <c r="F24" s="33">
        <f>-(Tasuvus_kokku!E5/(1+Eeldused!D6))*$C$24</f>
        <v>-203051.76189826135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</row>
    <row r="25" spans="1:27" x14ac:dyDescent="0.35">
      <c r="B25" s="14" t="s">
        <v>65</v>
      </c>
      <c r="C25" s="14"/>
      <c r="D25" s="30">
        <f t="shared" ref="D25:Y25" si="13">D17+D18+D19+D20</f>
        <v>-198436.88408162672</v>
      </c>
      <c r="E25" s="30">
        <f t="shared" si="13"/>
        <v>-1643687.9775973763</v>
      </c>
      <c r="F25" s="30">
        <f t="shared" si="13"/>
        <v>-45726.207938411651</v>
      </c>
      <c r="G25" s="30">
        <f t="shared" si="13"/>
        <v>195400.76847017795</v>
      </c>
      <c r="H25" s="30">
        <f t="shared" si="13"/>
        <v>325767.59420865506</v>
      </c>
      <c r="I25" s="30">
        <f t="shared" si="13"/>
        <v>466531.31402223883</v>
      </c>
      <c r="J25" s="30">
        <f t="shared" si="13"/>
        <v>618326.51481931889</v>
      </c>
      <c r="K25" s="30">
        <f t="shared" si="13"/>
        <v>781822.38626920048</v>
      </c>
      <c r="L25" s="30">
        <f t="shared" si="13"/>
        <v>957724.49319277331</v>
      </c>
      <c r="M25" s="30">
        <f t="shared" si="13"/>
        <v>1146776.6351902361</v>
      </c>
      <c r="N25" s="30">
        <f t="shared" si="13"/>
        <v>1349762.7976826928</v>
      </c>
      <c r="O25" s="30">
        <f t="shared" si="13"/>
        <v>1567509.1987404155</v>
      </c>
      <c r="P25" s="30">
        <f t="shared" si="13"/>
        <v>1800886.4362755835</v>
      </c>
      <c r="Q25" s="30">
        <f t="shared" si="13"/>
        <v>2050811.7403917799</v>
      </c>
      <c r="R25" s="30">
        <f t="shared" si="13"/>
        <v>2318251.3359069494</v>
      </c>
      <c r="S25" s="30">
        <f t="shared" si="13"/>
        <v>2604222.920301199</v>
      </c>
      <c r="T25" s="30">
        <f t="shared" si="13"/>
        <v>2909798.2625864255</v>
      </c>
      <c r="U25" s="30">
        <f t="shared" si="13"/>
        <v>3236105.9288515914</v>
      </c>
      <c r="V25" s="30">
        <f t="shared" si="13"/>
        <v>3584334.1405061684</v>
      </c>
      <c r="W25" s="30">
        <f t="shared" si="13"/>
        <v>3955733.7715253457</v>
      </c>
      <c r="X25" s="30">
        <f t="shared" si="13"/>
        <v>4351621.4912945656</v>
      </c>
      <c r="Y25" s="30">
        <f t="shared" si="13"/>
        <v>4773383.0599584747</v>
      </c>
    </row>
    <row r="26" spans="1:27" x14ac:dyDescent="0.35">
      <c r="B26" t="s">
        <v>107</v>
      </c>
      <c r="D26" s="32">
        <v>1</v>
      </c>
      <c r="E26" s="111">
        <f t="shared" ref="E26:Y26" si="14">D26/(1+$D$28)</f>
        <v>0.9433700127029061</v>
      </c>
      <c r="F26" s="111">
        <f t="shared" si="14"/>
        <v>0.88994698086708124</v>
      </c>
      <c r="G26" s="111">
        <f t="shared" si="14"/>
        <v>0.83954929464549133</v>
      </c>
      <c r="H26" s="111">
        <f t="shared" si="14"/>
        <v>0.79200562875443303</v>
      </c>
      <c r="I26" s="111">
        <f t="shared" si="14"/>
        <v>0.74715436005884261</v>
      </c>
      <c r="J26" s="111">
        <f t="shared" si="14"/>
        <v>0.70484301813974204</v>
      </c>
      <c r="K26" s="111">
        <f t="shared" si="14"/>
        <v>0.66492776697604306</v>
      </c>
      <c r="L26" s="111">
        <f t="shared" si="14"/>
        <v>0.62727291597870471</v>
      </c>
      <c r="M26" s="111">
        <f t="shared" si="14"/>
        <v>0.59175045871501963</v>
      </c>
      <c r="N26" s="111">
        <f t="shared" si="14"/>
        <v>0.55823963775493857</v>
      </c>
      <c r="O26" s="111">
        <f t="shared" si="14"/>
        <v>0.52662653416014205</v>
      </c>
      <c r="P26" s="111">
        <f t="shared" si="14"/>
        <v>0.4968036802203406</v>
      </c>
      <c r="Q26" s="111">
        <f t="shared" si="14"/>
        <v>0.46866969412031317</v>
      </c>
      <c r="R26" s="111">
        <f t="shared" si="14"/>
        <v>0.44212893529574693</v>
      </c>
      <c r="S26" s="111">
        <f t="shared" si="14"/>
        <v>0.4170911793062711</v>
      </c>
      <c r="T26" s="111">
        <f t="shared" si="14"/>
        <v>0.39347131112042705</v>
      </c>
      <c r="U26" s="111">
        <f t="shared" si="14"/>
        <v>0.37118903576990636</v>
      </c>
      <c r="V26" s="111">
        <f t="shared" si="14"/>
        <v>0.35016860538943601</v>
      </c>
      <c r="W26" s="111">
        <f t="shared" si="14"/>
        <v>0.33033856171439113</v>
      </c>
      <c r="X26" s="111">
        <f t="shared" si="14"/>
        <v>0.31163149316076488</v>
      </c>
      <c r="Y26" s="111">
        <f t="shared" si="14"/>
        <v>0.29398380566169635</v>
      </c>
      <c r="Z26" s="21"/>
      <c r="AA26" s="21"/>
    </row>
    <row r="27" spans="1:27" x14ac:dyDescent="0.35">
      <c r="B27" s="122" t="s">
        <v>112</v>
      </c>
      <c r="C27" s="122"/>
      <c r="D27" s="31">
        <f>D25*D26</f>
        <v>-198436.88408162672</v>
      </c>
      <c r="E27" s="31">
        <f t="shared" ref="E27:Y27" si="15">E25*E26</f>
        <v>-1550605.9483056508</v>
      </c>
      <c r="F27" s="31">
        <f t="shared" si="15"/>
        <v>-40693.900701289815</v>
      </c>
      <c r="G27" s="31">
        <f t="shared" si="15"/>
        <v>164048.57734232486</v>
      </c>
      <c r="H27" s="31">
        <f t="shared" si="15"/>
        <v>258009.76827904486</v>
      </c>
      <c r="I27" s="31">
        <f t="shared" si="15"/>
        <v>348570.90537569678</v>
      </c>
      <c r="J27" s="31">
        <f t="shared" si="15"/>
        <v>435823.12690107664</v>
      </c>
      <c r="K27" s="31">
        <f t="shared" si="15"/>
        <v>519855.41347386088</v>
      </c>
      <c r="L27" s="31">
        <f t="shared" si="15"/>
        <v>600754.63554925809</v>
      </c>
      <c r="M27" s="31">
        <f t="shared" si="15"/>
        <v>678605.59991748899</v>
      </c>
      <c r="N27" s="31">
        <f t="shared" si="15"/>
        <v>753491.09523347882</v>
      </c>
      <c r="O27" s="31">
        <f t="shared" si="15"/>
        <v>825491.93659680628</v>
      </c>
      <c r="P27" s="31">
        <f t="shared" si="15"/>
        <v>894687.00920060382</v>
      </c>
      <c r="Q27" s="31">
        <f t="shared" si="15"/>
        <v>961153.31106776255</v>
      </c>
      <c r="R27" s="31">
        <f t="shared" si="15"/>
        <v>1024965.9948924825</v>
      </c>
      <c r="S27" s="31">
        <f t="shared" si="15"/>
        <v>1086198.4090048482</v>
      </c>
      <c r="T27" s="31">
        <f t="shared" si="15"/>
        <v>1144922.1374758214</v>
      </c>
      <c r="U27" s="31">
        <f t="shared" si="15"/>
        <v>1201207.0393796994</v>
      </c>
      <c r="V27" s="31">
        <f t="shared" si="15"/>
        <v>1255121.2872307878</v>
      </c>
      <c r="W27" s="31">
        <f t="shared" si="15"/>
        <v>1306731.4046107265</v>
      </c>
      <c r="X27" s="31">
        <f t="shared" si="15"/>
        <v>1356102.3030025999</v>
      </c>
      <c r="Y27" s="31">
        <f t="shared" si="15"/>
        <v>1403297.3178476656</v>
      </c>
    </row>
    <row r="28" spans="1:27" x14ac:dyDescent="0.35">
      <c r="B28" s="113" t="s">
        <v>46</v>
      </c>
      <c r="C28" s="113"/>
      <c r="D28" s="7">
        <f>Makro!B29</f>
        <v>6.0029454545454497E-2</v>
      </c>
    </row>
    <row r="29" spans="1:27" x14ac:dyDescent="0.35">
      <c r="B29" s="112" t="s">
        <v>66</v>
      </c>
      <c r="C29" s="112"/>
      <c r="D29" s="25">
        <f>IRR(D25:Y25,D28)</f>
        <v>0.29376619396937076</v>
      </c>
    </row>
    <row r="30" spans="1:27" x14ac:dyDescent="0.35">
      <c r="B30" s="112" t="s">
        <v>67</v>
      </c>
      <c r="C30" s="112"/>
      <c r="D30" s="26">
        <f>SUM(D27:Y27)</f>
        <v>14429300.539293466</v>
      </c>
    </row>
    <row r="33" spans="2:13" x14ac:dyDescent="0.35">
      <c r="B33" s="14" t="s">
        <v>163</v>
      </c>
      <c r="C33" s="14"/>
    </row>
    <row r="34" spans="2:13" x14ac:dyDescent="0.35">
      <c r="B34" s="4" t="s">
        <v>164</v>
      </c>
      <c r="C34" s="4" t="s">
        <v>165</v>
      </c>
      <c r="D34" s="167" t="s">
        <v>166</v>
      </c>
      <c r="E34" s="167"/>
      <c r="F34" s="167"/>
      <c r="G34" s="167"/>
      <c r="H34" s="167"/>
      <c r="M34" s="114"/>
    </row>
    <row r="35" spans="2:13" x14ac:dyDescent="0.35">
      <c r="B35" t="s">
        <v>167</v>
      </c>
      <c r="C35" s="21">
        <f>F47</f>
        <v>0.97464845711165438</v>
      </c>
      <c r="D35" s="168" t="s">
        <v>171</v>
      </c>
      <c r="E35" s="168"/>
      <c r="F35" s="168"/>
      <c r="G35" s="168"/>
      <c r="H35" s="168"/>
    </row>
    <row r="36" spans="2:13" x14ac:dyDescent="0.35">
      <c r="B36" t="s">
        <v>168</v>
      </c>
      <c r="C36" s="21">
        <f>F53</f>
        <v>0.62095599999999984</v>
      </c>
      <c r="D36" s="169" t="s">
        <v>177</v>
      </c>
      <c r="E36" s="169"/>
      <c r="F36" s="169"/>
      <c r="G36" s="169"/>
      <c r="H36" s="169"/>
    </row>
    <row r="37" spans="2:13" x14ac:dyDescent="0.35">
      <c r="B37" t="s">
        <v>19</v>
      </c>
      <c r="C37" s="21">
        <f>70%*C38+20%*C36+10%*0</f>
        <v>0.80644511997815793</v>
      </c>
      <c r="D37" s="169" t="s">
        <v>178</v>
      </c>
      <c r="E37" s="169"/>
      <c r="F37" s="169"/>
      <c r="G37" s="169"/>
      <c r="H37" s="169"/>
    </row>
    <row r="38" spans="2:13" x14ac:dyDescent="0.35">
      <c r="B38" t="s">
        <v>169</v>
      </c>
      <c r="C38" s="21">
        <f>F47</f>
        <v>0.97464845711165438</v>
      </c>
      <c r="D38" s="169" t="s">
        <v>172</v>
      </c>
      <c r="E38" s="169"/>
      <c r="F38" s="169"/>
      <c r="G38" s="169"/>
      <c r="H38" s="169"/>
      <c r="M38" s="19"/>
    </row>
    <row r="39" spans="2:13" x14ac:dyDescent="0.35">
      <c r="B39" t="s">
        <v>170</v>
      </c>
      <c r="C39" s="21">
        <f>F47</f>
        <v>0.97464845711165438</v>
      </c>
      <c r="D39" s="169" t="s">
        <v>172</v>
      </c>
      <c r="E39" s="169"/>
      <c r="F39" s="169"/>
      <c r="G39" s="169"/>
      <c r="H39" s="169"/>
    </row>
    <row r="40" spans="2:13" x14ac:dyDescent="0.35">
      <c r="B40" s="4" t="s">
        <v>18</v>
      </c>
      <c r="C40" s="106">
        <f>90%*C36+10%*0</f>
        <v>0.55886039999999992</v>
      </c>
      <c r="D40" s="166" t="s">
        <v>179</v>
      </c>
      <c r="E40" s="166"/>
      <c r="F40" s="166"/>
      <c r="G40" s="166"/>
      <c r="H40" s="166"/>
    </row>
    <row r="42" spans="2:13" x14ac:dyDescent="0.35">
      <c r="B42" s="4" t="s">
        <v>167</v>
      </c>
      <c r="C42" s="4">
        <v>2020</v>
      </c>
      <c r="D42" s="4">
        <v>2021</v>
      </c>
      <c r="E42" s="4">
        <v>2022</v>
      </c>
    </row>
    <row r="43" spans="2:13" x14ac:dyDescent="0.35">
      <c r="B43" t="s">
        <v>173</v>
      </c>
      <c r="C43" s="32">
        <v>14273.488981</v>
      </c>
      <c r="D43" s="32">
        <v>18236.760600000001</v>
      </c>
      <c r="E43" s="32">
        <v>21300.373036000001</v>
      </c>
      <c r="F43" s="32"/>
    </row>
    <row r="44" spans="2:13" x14ac:dyDescent="0.35">
      <c r="B44" t="s">
        <v>174</v>
      </c>
      <c r="C44" s="32">
        <v>15139.748180000001</v>
      </c>
      <c r="D44" s="32">
        <v>20021.614097000001</v>
      </c>
      <c r="E44" s="32">
        <v>24933.085186</v>
      </c>
      <c r="F44" s="32"/>
    </row>
    <row r="45" spans="2:13" x14ac:dyDescent="0.35">
      <c r="B45" t="s">
        <v>175</v>
      </c>
      <c r="C45" s="32">
        <v>901.09956</v>
      </c>
      <c r="D45" s="32">
        <v>986.33578999999997</v>
      </c>
      <c r="E45" s="32">
        <v>1001.20832</v>
      </c>
      <c r="F45" s="32"/>
    </row>
    <row r="46" spans="2:13" x14ac:dyDescent="0.35">
      <c r="B46" s="4" t="s">
        <v>176</v>
      </c>
      <c r="C46" s="33">
        <v>0</v>
      </c>
      <c r="D46" s="33">
        <v>0</v>
      </c>
      <c r="E46" s="33">
        <v>0</v>
      </c>
      <c r="F46" s="32"/>
    </row>
    <row r="47" spans="2:13" x14ac:dyDescent="0.35">
      <c r="B47" s="102" t="s">
        <v>167</v>
      </c>
      <c r="C47" s="103">
        <f>(C43+C44)/((C44+C45)+(C43-C46))</f>
        <v>0.97027480534067667</v>
      </c>
      <c r="D47" s="103">
        <f>(D43+D44)/((D44+D45)+(D43-D46))</f>
        <v>0.97486703869743863</v>
      </c>
      <c r="E47" s="103">
        <f>(E43+E44)/((E44+E45)+(E43-E46))</f>
        <v>0.97880352729684772</v>
      </c>
      <c r="F47" s="104">
        <f>AVERAGE(C47:E47)</f>
        <v>0.97464845711165438</v>
      </c>
    </row>
    <row r="48" spans="2:13" x14ac:dyDescent="0.35">
      <c r="B48" s="107" t="s">
        <v>182</v>
      </c>
      <c r="C48" s="107"/>
    </row>
    <row r="49" spans="2:9" x14ac:dyDescent="0.35">
      <c r="B49" s="107"/>
      <c r="C49" s="107"/>
    </row>
    <row r="50" spans="2:9" x14ac:dyDescent="0.35">
      <c r="B50" s="4" t="s">
        <v>177</v>
      </c>
      <c r="C50" s="4">
        <v>2020</v>
      </c>
      <c r="D50" s="4">
        <v>2021</v>
      </c>
      <c r="E50" s="4">
        <v>2022</v>
      </c>
    </row>
    <row r="51" spans="2:9" x14ac:dyDescent="0.35">
      <c r="B51" t="s">
        <v>181</v>
      </c>
      <c r="C51" s="7">
        <v>6.8000000000000005E-2</v>
      </c>
      <c r="D51" s="7">
        <v>6.2E-2</v>
      </c>
      <c r="E51" s="7">
        <v>5.6000000000000001E-2</v>
      </c>
      <c r="F51" s="7"/>
      <c r="I51" s="6"/>
    </row>
    <row r="52" spans="2:9" x14ac:dyDescent="0.35">
      <c r="B52" s="4" t="s">
        <v>180</v>
      </c>
      <c r="C52" s="105">
        <v>0.33800000000000002</v>
      </c>
      <c r="D52" s="105">
        <v>0.33800000000000002</v>
      </c>
      <c r="E52" s="105">
        <v>0.33800000000000002</v>
      </c>
      <c r="F52" s="7"/>
    </row>
    <row r="53" spans="2:9" x14ac:dyDescent="0.35">
      <c r="B53" s="102" t="s">
        <v>177</v>
      </c>
      <c r="C53" s="103">
        <f>(1-C51)*(1-C52)</f>
        <v>0.61698399999999987</v>
      </c>
      <c r="D53" s="103">
        <f t="shared" ref="D53" si="16">(1-D51)*(1-D52)</f>
        <v>0.62095599999999984</v>
      </c>
      <c r="E53" s="103">
        <f>(1-E51)*(1-E52)</f>
        <v>0.62492799999999993</v>
      </c>
      <c r="F53" s="104">
        <f>AVERAGE(C53:E53)</f>
        <v>0.62095599999999984</v>
      </c>
    </row>
    <row r="54" spans="2:9" x14ac:dyDescent="0.35">
      <c r="B54" s="107" t="s">
        <v>182</v>
      </c>
      <c r="C54" s="107"/>
    </row>
    <row r="56" spans="2:9" ht="43.5" x14ac:dyDescent="0.35">
      <c r="B56">
        <v>2021</v>
      </c>
      <c r="C56" s="116" t="s">
        <v>189</v>
      </c>
      <c r="D56" s="116" t="s">
        <v>190</v>
      </c>
    </row>
    <row r="57" spans="2:9" x14ac:dyDescent="0.35">
      <c r="B57" s="117" t="s">
        <v>185</v>
      </c>
      <c r="C57" s="117">
        <v>809783</v>
      </c>
      <c r="D57" s="117">
        <v>2994694.1</v>
      </c>
      <c r="E57" s="19"/>
      <c r="F57" s="7"/>
    </row>
    <row r="58" spans="2:9" x14ac:dyDescent="0.35">
      <c r="B58" s="4" t="s">
        <v>186</v>
      </c>
      <c r="C58" s="28">
        <v>316994.3</v>
      </c>
      <c r="D58" s="4">
        <v>416732.9</v>
      </c>
      <c r="I58" s="6"/>
    </row>
    <row r="59" spans="2:9" x14ac:dyDescent="0.35">
      <c r="B59" s="118" t="s">
        <v>187</v>
      </c>
      <c r="C59" s="119">
        <f>C58/C57</f>
        <v>0.39145585916226938</v>
      </c>
      <c r="D59" s="119">
        <f>D58/D57</f>
        <v>0.13915708452492695</v>
      </c>
      <c r="E59" s="25">
        <f>AVERAGE(C59:D59)</f>
        <v>0.26530647184359818</v>
      </c>
      <c r="G59" s="114"/>
    </row>
    <row r="60" spans="2:9" x14ac:dyDescent="0.35">
      <c r="B60" s="107" t="s">
        <v>182</v>
      </c>
    </row>
  </sheetData>
  <mergeCells count="7">
    <mergeCell ref="D40:H40"/>
    <mergeCell ref="D34:H34"/>
    <mergeCell ref="D35:H35"/>
    <mergeCell ref="D36:H36"/>
    <mergeCell ref="D37:H37"/>
    <mergeCell ref="D38:H38"/>
    <mergeCell ref="D39:H39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778E1-D9C5-4330-8C18-85998AB7F497}">
  <dimension ref="A1:BU36"/>
  <sheetViews>
    <sheetView workbookViewId="0">
      <selection activeCell="E31" sqref="E31"/>
    </sheetView>
  </sheetViews>
  <sheetFormatPr defaultRowHeight="14.5" x14ac:dyDescent="0.35"/>
  <cols>
    <col min="1" max="1" width="26" customWidth="1"/>
    <col min="2" max="19" width="8.7265625" customWidth="1"/>
  </cols>
  <sheetData>
    <row r="1" spans="1:73" ht="15" thickBot="1" x14ac:dyDescent="0.4">
      <c r="A1" s="78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 t="s">
        <v>120</v>
      </c>
      <c r="Y1" s="36" t="s">
        <v>120</v>
      </c>
      <c r="Z1" s="36" t="s">
        <v>120</v>
      </c>
      <c r="AA1" s="36" t="s">
        <v>120</v>
      </c>
      <c r="AB1" s="36" t="s">
        <v>120</v>
      </c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</row>
    <row r="2" spans="1:73" ht="15" thickBot="1" x14ac:dyDescent="0.4">
      <c r="A2" s="79" t="s">
        <v>121</v>
      </c>
      <c r="B2" s="35" t="s">
        <v>122</v>
      </c>
      <c r="C2" s="35" t="s">
        <v>122</v>
      </c>
      <c r="D2" s="35" t="s">
        <v>122</v>
      </c>
      <c r="E2" s="35" t="s">
        <v>122</v>
      </c>
      <c r="F2" s="35" t="s">
        <v>122</v>
      </c>
      <c r="G2" s="35" t="s">
        <v>122</v>
      </c>
      <c r="H2" s="35" t="s">
        <v>122</v>
      </c>
      <c r="I2" s="35" t="s">
        <v>122</v>
      </c>
      <c r="J2" s="35" t="s">
        <v>122</v>
      </c>
      <c r="K2" s="35" t="s">
        <v>122</v>
      </c>
      <c r="L2" s="35" t="s">
        <v>122</v>
      </c>
      <c r="M2" s="35" t="s">
        <v>122</v>
      </c>
      <c r="N2" s="35" t="s">
        <v>122</v>
      </c>
      <c r="O2" s="35" t="s">
        <v>122</v>
      </c>
      <c r="P2" s="35" t="s">
        <v>122</v>
      </c>
      <c r="Q2" s="35" t="s">
        <v>122</v>
      </c>
      <c r="R2" s="35" t="s">
        <v>122</v>
      </c>
      <c r="S2" s="35" t="s">
        <v>122</v>
      </c>
      <c r="T2" s="35" t="s">
        <v>122</v>
      </c>
      <c r="U2" s="35" t="s">
        <v>122</v>
      </c>
      <c r="V2" s="35" t="s">
        <v>122</v>
      </c>
      <c r="W2" s="35" t="s">
        <v>122</v>
      </c>
      <c r="X2" s="36" t="s">
        <v>123</v>
      </c>
      <c r="Y2" s="36" t="s">
        <v>123</v>
      </c>
      <c r="Z2" s="36" t="s">
        <v>123</v>
      </c>
      <c r="AA2" s="36" t="s">
        <v>123</v>
      </c>
      <c r="AB2" s="36" t="s">
        <v>123</v>
      </c>
      <c r="AC2" s="35" t="s">
        <v>124</v>
      </c>
      <c r="AD2" s="35" t="s">
        <v>124</v>
      </c>
      <c r="AE2" s="35" t="s">
        <v>124</v>
      </c>
      <c r="AF2" s="35" t="s">
        <v>124</v>
      </c>
      <c r="AG2" s="35" t="s">
        <v>124</v>
      </c>
      <c r="AH2" s="35" t="s">
        <v>124</v>
      </c>
      <c r="AI2" s="35" t="s">
        <v>124</v>
      </c>
      <c r="AJ2" s="35" t="s">
        <v>124</v>
      </c>
      <c r="AK2" s="35" t="s">
        <v>124</v>
      </c>
      <c r="AL2" s="35" t="s">
        <v>124</v>
      </c>
      <c r="AM2" s="35" t="s">
        <v>124</v>
      </c>
      <c r="AN2" s="35" t="s">
        <v>124</v>
      </c>
      <c r="AO2" s="35" t="s">
        <v>124</v>
      </c>
      <c r="AP2" s="35" t="s">
        <v>124</v>
      </c>
      <c r="AQ2" s="35" t="s">
        <v>125</v>
      </c>
      <c r="AR2" s="35" t="s">
        <v>125</v>
      </c>
      <c r="AS2" s="35" t="s">
        <v>125</v>
      </c>
      <c r="AT2" s="35" t="s">
        <v>125</v>
      </c>
      <c r="AU2" s="35" t="s">
        <v>125</v>
      </c>
      <c r="AV2" s="35" t="s">
        <v>125</v>
      </c>
      <c r="AW2" s="35" t="s">
        <v>125</v>
      </c>
      <c r="AX2" s="35" t="s">
        <v>125</v>
      </c>
      <c r="AY2" s="35" t="s">
        <v>125</v>
      </c>
      <c r="AZ2" s="35" t="s">
        <v>125</v>
      </c>
      <c r="BA2" s="35" t="s">
        <v>125</v>
      </c>
      <c r="BB2" s="35" t="s">
        <v>125</v>
      </c>
      <c r="BC2" s="35" t="s">
        <v>125</v>
      </c>
      <c r="BD2" s="35" t="s">
        <v>125</v>
      </c>
      <c r="BE2" s="35" t="s">
        <v>125</v>
      </c>
      <c r="BF2" s="35" t="s">
        <v>125</v>
      </c>
      <c r="BG2" s="35" t="s">
        <v>125</v>
      </c>
      <c r="BH2" s="35" t="s">
        <v>125</v>
      </c>
      <c r="BI2" s="35" t="s">
        <v>125</v>
      </c>
      <c r="BJ2" s="35" t="s">
        <v>125</v>
      </c>
      <c r="BK2" s="35" t="s">
        <v>125</v>
      </c>
      <c r="BL2" s="35" t="s">
        <v>125</v>
      </c>
      <c r="BM2" s="35" t="s">
        <v>125</v>
      </c>
      <c r="BN2" s="35" t="s">
        <v>125</v>
      </c>
      <c r="BO2" s="35" t="s">
        <v>125</v>
      </c>
      <c r="BP2" s="35" t="s">
        <v>125</v>
      </c>
      <c r="BQ2" s="35" t="s">
        <v>125</v>
      </c>
      <c r="BR2" s="35" t="s">
        <v>125</v>
      </c>
      <c r="BS2" s="35" t="s">
        <v>125</v>
      </c>
      <c r="BT2" s="35" t="s">
        <v>125</v>
      </c>
      <c r="BU2" s="35"/>
    </row>
    <row r="3" spans="1:73" ht="15" thickBot="1" x14ac:dyDescent="0.4">
      <c r="A3" s="37"/>
      <c r="B3" s="38">
        <v>2000</v>
      </c>
      <c r="C3" s="39">
        <v>2001</v>
      </c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39">
        <v>2010</v>
      </c>
      <c r="M3" s="39">
        <v>2011</v>
      </c>
      <c r="N3" s="39">
        <v>2012</v>
      </c>
      <c r="O3" s="39">
        <v>2013</v>
      </c>
      <c r="P3" s="39">
        <v>2014</v>
      </c>
      <c r="Q3" s="39">
        <v>2015</v>
      </c>
      <c r="R3" s="39">
        <v>2016</v>
      </c>
      <c r="S3" s="39">
        <v>2017</v>
      </c>
      <c r="T3" s="39">
        <v>2018</v>
      </c>
      <c r="U3" s="39">
        <v>2019</v>
      </c>
      <c r="V3" s="39">
        <v>2020</v>
      </c>
      <c r="W3" s="39">
        <v>2021</v>
      </c>
      <c r="X3" s="40">
        <v>2022</v>
      </c>
      <c r="Y3" s="40">
        <v>2023</v>
      </c>
      <c r="Z3" s="40">
        <v>2024</v>
      </c>
      <c r="AA3" s="40">
        <v>2025</v>
      </c>
      <c r="AB3" s="40">
        <v>2026</v>
      </c>
      <c r="AC3" s="39">
        <v>2027</v>
      </c>
      <c r="AD3" s="39">
        <v>2028</v>
      </c>
      <c r="AE3" s="39">
        <v>2029</v>
      </c>
      <c r="AF3" s="39">
        <v>2030</v>
      </c>
      <c r="AG3" s="39">
        <v>2031</v>
      </c>
      <c r="AH3" s="39">
        <v>2032</v>
      </c>
      <c r="AI3" s="39">
        <v>2033</v>
      </c>
      <c r="AJ3" s="39">
        <v>2034</v>
      </c>
      <c r="AK3" s="39">
        <v>2035</v>
      </c>
      <c r="AL3" s="39">
        <v>2036</v>
      </c>
      <c r="AM3" s="39">
        <v>2037</v>
      </c>
      <c r="AN3" s="39">
        <v>2038</v>
      </c>
      <c r="AO3" s="39">
        <v>2039</v>
      </c>
      <c r="AP3" s="39">
        <v>2040</v>
      </c>
      <c r="AQ3" s="39">
        <v>2041</v>
      </c>
      <c r="AR3" s="39">
        <v>2042</v>
      </c>
      <c r="AS3" s="39">
        <v>2043</v>
      </c>
      <c r="AT3" s="39">
        <v>2044</v>
      </c>
      <c r="AU3" s="39">
        <v>2045</v>
      </c>
      <c r="AV3" s="39">
        <v>2046</v>
      </c>
      <c r="AW3" s="39">
        <v>2047</v>
      </c>
      <c r="AX3" s="39">
        <v>2048</v>
      </c>
      <c r="AY3" s="39">
        <v>2049</v>
      </c>
      <c r="AZ3" s="39">
        <v>2050</v>
      </c>
      <c r="BA3" s="39">
        <v>2051</v>
      </c>
      <c r="BB3" s="39">
        <v>2052</v>
      </c>
      <c r="BC3" s="39">
        <v>2053</v>
      </c>
      <c r="BD3" s="39">
        <v>2054</v>
      </c>
      <c r="BE3" s="39">
        <v>2055</v>
      </c>
      <c r="BF3" s="39">
        <v>2056</v>
      </c>
      <c r="BG3" s="39">
        <v>2057</v>
      </c>
      <c r="BH3" s="39">
        <v>2058</v>
      </c>
      <c r="BI3" s="39">
        <v>2059</v>
      </c>
      <c r="BJ3" s="39">
        <v>2060</v>
      </c>
      <c r="BK3" s="39">
        <v>2061</v>
      </c>
      <c r="BL3" s="39">
        <v>2062</v>
      </c>
      <c r="BM3" s="39">
        <v>2063</v>
      </c>
      <c r="BN3" s="39">
        <v>2064</v>
      </c>
      <c r="BO3" s="39">
        <v>2065</v>
      </c>
      <c r="BP3" s="39">
        <v>2066</v>
      </c>
      <c r="BQ3" s="39">
        <v>2067</v>
      </c>
      <c r="BR3" s="39">
        <v>2068</v>
      </c>
      <c r="BS3" s="39">
        <v>2069</v>
      </c>
      <c r="BT3" s="41">
        <v>2070</v>
      </c>
      <c r="BU3" s="35"/>
    </row>
    <row r="4" spans="1:73" x14ac:dyDescent="0.35">
      <c r="A4" s="42" t="s">
        <v>126</v>
      </c>
      <c r="B4" s="43">
        <v>6171.6</v>
      </c>
      <c r="C4" s="44">
        <v>6987.1</v>
      </c>
      <c r="D4" s="44">
        <v>7822.6</v>
      </c>
      <c r="E4" s="44">
        <v>8744.4</v>
      </c>
      <c r="F4" s="44">
        <v>9777.5</v>
      </c>
      <c r="G4" s="44">
        <v>11343.2</v>
      </c>
      <c r="H4" s="44">
        <v>13569</v>
      </c>
      <c r="I4" s="44">
        <v>16401.3</v>
      </c>
      <c r="J4" s="44">
        <v>16618</v>
      </c>
      <c r="K4" s="44">
        <v>14131.9</v>
      </c>
      <c r="L4" s="44">
        <v>14741.099999999999</v>
      </c>
      <c r="M4" s="44">
        <v>16677.2</v>
      </c>
      <c r="N4" s="44">
        <v>17916.599999999999</v>
      </c>
      <c r="O4" s="44">
        <v>18910.8</v>
      </c>
      <c r="P4" s="44">
        <v>20048.2</v>
      </c>
      <c r="Q4" s="44">
        <v>20631.3</v>
      </c>
      <c r="R4" s="44">
        <v>21747.9</v>
      </c>
      <c r="S4" s="44">
        <v>23833.599999999999</v>
      </c>
      <c r="T4" s="73">
        <v>25932.2</v>
      </c>
      <c r="U4" s="44">
        <v>27764.7</v>
      </c>
      <c r="V4" s="44">
        <v>27465</v>
      </c>
      <c r="W4" s="44">
        <v>31444.9</v>
      </c>
      <c r="X4" s="45">
        <v>36469.082180857062</v>
      </c>
      <c r="Y4" s="45">
        <v>38583.458419817434</v>
      </c>
      <c r="Z4" s="45">
        <v>40355.72599511216</v>
      </c>
      <c r="AA4" s="45">
        <v>42143.142908748698</v>
      </c>
      <c r="AB4" s="45">
        <v>43929.277837904345</v>
      </c>
      <c r="AC4" s="44">
        <v>45649.930269971068</v>
      </c>
      <c r="AD4" s="44">
        <v>47359.071714519014</v>
      </c>
      <c r="AE4" s="44">
        <v>49113.686944676636</v>
      </c>
      <c r="AF4" s="44">
        <v>50917.49967242511</v>
      </c>
      <c r="AG4" s="44">
        <v>52800.035554639304</v>
      </c>
      <c r="AH4" s="44">
        <v>54751.09732243976</v>
      </c>
      <c r="AI4" s="44">
        <v>56773.550890947961</v>
      </c>
      <c r="AJ4" s="44">
        <v>58842.182787320482</v>
      </c>
      <c r="AK4" s="44">
        <v>60904.227217566986</v>
      </c>
      <c r="AL4" s="44">
        <v>62991.86710628555</v>
      </c>
      <c r="AM4" s="44">
        <v>65155.638755200955</v>
      </c>
      <c r="AN4" s="44">
        <v>67415.993221678102</v>
      </c>
      <c r="AO4" s="44">
        <v>69733.789235730073</v>
      </c>
      <c r="AP4" s="44">
        <v>72131.162476942976</v>
      </c>
      <c r="AQ4" s="44">
        <v>74641.098864726009</v>
      </c>
      <c r="AR4" s="44">
        <v>77228.608199358176</v>
      </c>
      <c r="AS4" s="44">
        <v>79888.88521922259</v>
      </c>
      <c r="AT4" s="44">
        <v>82579.14685525831</v>
      </c>
      <c r="AU4" s="44">
        <v>85385.440469781955</v>
      </c>
      <c r="AV4" s="44">
        <v>88262.0292106181</v>
      </c>
      <c r="AW4" s="44">
        <v>91222.517819288463</v>
      </c>
      <c r="AX4" s="44">
        <v>94260.241172741575</v>
      </c>
      <c r="AY4" s="44">
        <v>97373.556604606812</v>
      </c>
      <c r="AZ4" s="44">
        <v>100572.96683094106</v>
      </c>
      <c r="BA4" s="44">
        <v>103861.03188515583</v>
      </c>
      <c r="BB4" s="44">
        <v>107254.58973309072</v>
      </c>
      <c r="BC4" s="44">
        <v>110756.88980865719</v>
      </c>
      <c r="BD4" s="44">
        <v>114382.16784099354</v>
      </c>
      <c r="BE4" s="44">
        <v>118140.74351231412</v>
      </c>
      <c r="BF4" s="44">
        <v>122046.41607811877</v>
      </c>
      <c r="BG4" s="44">
        <v>126114.09357651672</v>
      </c>
      <c r="BH4" s="44">
        <v>130359.86029455256</v>
      </c>
      <c r="BI4" s="44">
        <v>134800.1470222424</v>
      </c>
      <c r="BJ4" s="44">
        <v>139452.82198985681</v>
      </c>
      <c r="BK4" s="44">
        <v>144333.72532586864</v>
      </c>
      <c r="BL4" s="44">
        <v>149407.48166162468</v>
      </c>
      <c r="BM4" s="44">
        <v>154699.9893305639</v>
      </c>
      <c r="BN4" s="44">
        <v>160232.68221567775</v>
      </c>
      <c r="BO4" s="44">
        <v>166003.27616111957</v>
      </c>
      <c r="BP4" s="44">
        <v>172010.05847637696</v>
      </c>
      <c r="BQ4" s="44">
        <v>178247.21067083691</v>
      </c>
      <c r="BR4" s="44">
        <v>184716.85044020653</v>
      </c>
      <c r="BS4" s="44">
        <v>191390.02900648542</v>
      </c>
      <c r="BT4" s="46">
        <v>198247.69425998567</v>
      </c>
      <c r="BU4" s="35"/>
    </row>
    <row r="5" spans="1:73" x14ac:dyDescent="0.35">
      <c r="A5" s="47" t="s">
        <v>127</v>
      </c>
      <c r="B5" s="48">
        <v>12541</v>
      </c>
      <c r="C5" s="49">
        <v>13293.9</v>
      </c>
      <c r="D5" s="49">
        <v>14194.1</v>
      </c>
      <c r="E5" s="49">
        <v>15272.599999999999</v>
      </c>
      <c r="F5" s="49">
        <v>16311.800000000001</v>
      </c>
      <c r="G5" s="49">
        <v>17865.7</v>
      </c>
      <c r="H5" s="49">
        <v>19610.400000000001</v>
      </c>
      <c r="I5" s="49">
        <v>21096.7</v>
      </c>
      <c r="J5" s="49">
        <v>20014</v>
      </c>
      <c r="K5" s="49">
        <v>17086.099999999999</v>
      </c>
      <c r="L5" s="49">
        <v>17503.900000000001</v>
      </c>
      <c r="M5" s="49">
        <v>18775.2</v>
      </c>
      <c r="N5" s="49">
        <v>19381.2</v>
      </c>
      <c r="O5" s="49">
        <v>19663.8</v>
      </c>
      <c r="P5" s="49">
        <v>20256.099999999999</v>
      </c>
      <c r="Q5" s="49">
        <v>20631.3</v>
      </c>
      <c r="R5" s="49">
        <v>21282.400000000001</v>
      </c>
      <c r="S5" s="49">
        <v>22515</v>
      </c>
      <c r="T5" s="74">
        <v>23367.100000000002</v>
      </c>
      <c r="U5" s="49">
        <v>24241</v>
      </c>
      <c r="V5" s="49">
        <v>24107.4</v>
      </c>
      <c r="W5" s="49">
        <v>26039.300000000003</v>
      </c>
      <c r="X5" s="50">
        <v>26301.280397563285</v>
      </c>
      <c r="Y5" s="50">
        <v>26443.391038802532</v>
      </c>
      <c r="Z5" s="50">
        <v>27238.034298540009</v>
      </c>
      <c r="AA5" s="50">
        <v>27926.311687747784</v>
      </c>
      <c r="AB5" s="50">
        <v>28494.249209700276</v>
      </c>
      <c r="AC5" s="49">
        <v>29029.736991943788</v>
      </c>
      <c r="AD5" s="49">
        <v>29526.093595506285</v>
      </c>
      <c r="AE5" s="49">
        <v>30019.619055978448</v>
      </c>
      <c r="AF5" s="49">
        <v>30511.91997502535</v>
      </c>
      <c r="AG5" s="49">
        <v>31019.622666927025</v>
      </c>
      <c r="AH5" s="49">
        <v>31535.153667128005</v>
      </c>
      <c r="AI5" s="49">
        <v>32058.85520808163</v>
      </c>
      <c r="AJ5" s="49">
        <v>32575.459849384781</v>
      </c>
      <c r="AK5" s="49">
        <v>33055.904534966699</v>
      </c>
      <c r="AL5" s="49">
        <v>33518.603646381503</v>
      </c>
      <c r="AM5" s="49">
        <v>33990.164922642703</v>
      </c>
      <c r="AN5" s="49">
        <v>34479.743830031082</v>
      </c>
      <c r="AO5" s="49">
        <v>34965.85774272745</v>
      </c>
      <c r="AP5" s="49">
        <v>35458.771186210819</v>
      </c>
      <c r="AQ5" s="49">
        <v>35973.161087169996</v>
      </c>
      <c r="AR5" s="49">
        <v>36490.399188269621</v>
      </c>
      <c r="AS5" s="49">
        <v>37007.231381402649</v>
      </c>
      <c r="AT5" s="49">
        <v>37503.383809156207</v>
      </c>
      <c r="AU5" s="49">
        <v>38017.51395893062</v>
      </c>
      <c r="AV5" s="49">
        <v>38527.748225088661</v>
      </c>
      <c r="AW5" s="49">
        <v>39039.262292523999</v>
      </c>
      <c r="AX5" s="49">
        <v>39548.309322143723</v>
      </c>
      <c r="AY5" s="49">
        <v>40053.478316056782</v>
      </c>
      <c r="AZ5" s="49">
        <v>40558.351418026527</v>
      </c>
      <c r="BA5" s="49">
        <v>41063.077381321833</v>
      </c>
      <c r="BB5" s="49">
        <v>41573.307212722895</v>
      </c>
      <c r="BC5" s="49">
        <v>42089.064078060626</v>
      </c>
      <c r="BD5" s="49">
        <v>42614.428489209662</v>
      </c>
      <c r="BE5" s="49">
        <v>43151.696350408813</v>
      </c>
      <c r="BF5" s="49">
        <v>43704.185651838947</v>
      </c>
      <c r="BG5" s="49">
        <v>44275.293890802881</v>
      </c>
      <c r="BH5" s="49">
        <v>44868.499333894644</v>
      </c>
      <c r="BI5" s="49">
        <v>45487.058378021218</v>
      </c>
      <c r="BJ5" s="49">
        <v>46134.372901014453</v>
      </c>
      <c r="BK5" s="49">
        <v>46812.837259241598</v>
      </c>
      <c r="BL5" s="49">
        <v>47508.281001150739</v>
      </c>
      <c r="BM5" s="49">
        <v>48226.648635166428</v>
      </c>
      <c r="BN5" s="49">
        <v>48971.987515617409</v>
      </c>
      <c r="BO5" s="49">
        <v>49740.83996742389</v>
      </c>
      <c r="BP5" s="49">
        <v>50530.096479024854</v>
      </c>
      <c r="BQ5" s="49">
        <v>51335.625096777694</v>
      </c>
      <c r="BR5" s="49">
        <v>52155.781274870431</v>
      </c>
      <c r="BS5" s="49">
        <v>52980.380975279375</v>
      </c>
      <c r="BT5" s="51">
        <v>53802.659273520003</v>
      </c>
      <c r="BU5" s="35"/>
    </row>
    <row r="6" spans="1:73" x14ac:dyDescent="0.35">
      <c r="A6" s="47" t="s">
        <v>128</v>
      </c>
      <c r="B6" s="52"/>
      <c r="C6" s="53">
        <v>6.0035084921457482E-2</v>
      </c>
      <c r="D6" s="53">
        <v>6.7715267904828513E-2</v>
      </c>
      <c r="E6" s="53">
        <v>7.5982274325247623E-2</v>
      </c>
      <c r="F6" s="53">
        <v>6.8043424171392086E-2</v>
      </c>
      <c r="G6" s="53">
        <v>9.5262325433121964E-2</v>
      </c>
      <c r="H6" s="53">
        <v>9.7656403051657792E-2</v>
      </c>
      <c r="I6" s="53">
        <v>7.5791416799249278E-2</v>
      </c>
      <c r="J6" s="53">
        <v>-5.1320822687908607E-2</v>
      </c>
      <c r="K6" s="53">
        <v>-0.14629259518337168</v>
      </c>
      <c r="L6" s="53">
        <v>2.445262523337699E-2</v>
      </c>
      <c r="M6" s="53">
        <v>7.2629528276555444E-2</v>
      </c>
      <c r="N6" s="53">
        <v>3.2276620222421171E-2</v>
      </c>
      <c r="O6" s="53">
        <v>1.4581140486657151E-2</v>
      </c>
      <c r="P6" s="53">
        <v>3.0121339720704965E-2</v>
      </c>
      <c r="Q6" s="53">
        <v>1.8522815349450328E-2</v>
      </c>
      <c r="R6" s="53">
        <v>3.15588450558133E-2</v>
      </c>
      <c r="S6" s="53">
        <v>5.7916400405969126E-2</v>
      </c>
      <c r="T6" s="75">
        <v>3.7845880524095099E-2</v>
      </c>
      <c r="U6" s="53">
        <v>3.7398735829435203E-2</v>
      </c>
      <c r="V6" s="53">
        <v>-5.5113237902726375E-3</v>
      </c>
      <c r="W6" s="53">
        <v>8.0137219277068406E-2</v>
      </c>
      <c r="X6" s="54">
        <v>1.0060961606620733E-2</v>
      </c>
      <c r="Y6" s="54">
        <v>5.4031833846541755E-3</v>
      </c>
      <c r="Z6" s="54">
        <v>3.0050732092999466E-2</v>
      </c>
      <c r="AA6" s="54">
        <v>2.5268981662331935E-2</v>
      </c>
      <c r="AB6" s="54">
        <v>2.0337004338516484E-2</v>
      </c>
      <c r="AC6" s="53">
        <v>1.8792837049421696E-2</v>
      </c>
      <c r="AD6" s="53">
        <v>1.7098212212540709E-2</v>
      </c>
      <c r="AE6" s="53">
        <v>1.6714891825286182E-2</v>
      </c>
      <c r="AF6" s="53">
        <v>1.6399306004812875E-2</v>
      </c>
      <c r="AG6" s="53">
        <v>1.6639486873236464E-2</v>
      </c>
      <c r="AH6" s="53">
        <v>1.6619512291831784E-2</v>
      </c>
      <c r="AI6" s="53">
        <v>1.6606912605583002E-2</v>
      </c>
      <c r="AJ6" s="53">
        <v>1.6114257291786283E-2</v>
      </c>
      <c r="AK6" s="53">
        <v>1.4748669329712971E-2</v>
      </c>
      <c r="AL6" s="53">
        <v>1.3997472400894662E-2</v>
      </c>
      <c r="AM6" s="53">
        <v>1.4068643229775635E-2</v>
      </c>
      <c r="AN6" s="53">
        <v>1.4403546099367226E-2</v>
      </c>
      <c r="AO6" s="53">
        <v>1.4098536088106739E-2</v>
      </c>
      <c r="AP6" s="53">
        <v>1.4096992761056804E-2</v>
      </c>
      <c r="AQ6" s="53">
        <v>1.4506704089035427E-2</v>
      </c>
      <c r="AR6" s="53">
        <v>1.4378444525524392E-2</v>
      </c>
      <c r="AS6" s="53">
        <v>1.4163511625796987E-2</v>
      </c>
      <c r="AT6" s="53">
        <v>1.3406904792204744E-2</v>
      </c>
      <c r="AU6" s="53">
        <v>1.3708900305920979E-2</v>
      </c>
      <c r="AV6" s="53">
        <v>1.3421031862031585E-2</v>
      </c>
      <c r="AW6" s="53">
        <v>1.3276510852566537E-2</v>
      </c>
      <c r="AX6" s="53">
        <v>1.3039360882523887E-2</v>
      </c>
      <c r="AY6" s="53">
        <v>1.2773466238421571E-2</v>
      </c>
      <c r="AZ6" s="53">
        <v>1.2604975228015292E-2</v>
      </c>
      <c r="BA6" s="53">
        <v>1.2444439816924557E-2</v>
      </c>
      <c r="BB6" s="53">
        <v>1.2425513720341508E-2</v>
      </c>
      <c r="BC6" s="53">
        <v>1.2405961899992768E-2</v>
      </c>
      <c r="BD6" s="53">
        <v>1.2482207021155656E-2</v>
      </c>
      <c r="BE6" s="53">
        <v>1.2607651451554513E-2</v>
      </c>
      <c r="BF6" s="53">
        <v>1.2803420216524142E-2</v>
      </c>
      <c r="BG6" s="53">
        <v>1.306758678707709E-2</v>
      </c>
      <c r="BH6" s="53">
        <v>1.3398114184285159E-2</v>
      </c>
      <c r="BI6" s="53">
        <v>1.3786042620313355E-2</v>
      </c>
      <c r="BJ6" s="53">
        <v>1.4230740480373871E-2</v>
      </c>
      <c r="BK6" s="53">
        <v>1.4706265969689269E-2</v>
      </c>
      <c r="BL6" s="53">
        <v>1.4855834053763672E-2</v>
      </c>
      <c r="BM6" s="53">
        <v>1.5120893008069292E-2</v>
      </c>
      <c r="BN6" s="53">
        <v>1.5454917593164197E-2</v>
      </c>
      <c r="BO6" s="53">
        <v>1.5699841701570572E-2</v>
      </c>
      <c r="BP6" s="53">
        <v>1.5867374015353652E-2</v>
      </c>
      <c r="BQ6" s="53">
        <v>1.5941561047428721E-2</v>
      </c>
      <c r="BR6" s="53">
        <v>1.5976355144143639E-2</v>
      </c>
      <c r="BS6" s="53">
        <v>1.5810322082285611E-2</v>
      </c>
      <c r="BT6" s="55">
        <v>1.552043007437609E-2</v>
      </c>
      <c r="BU6" s="35"/>
    </row>
    <row r="7" spans="1:73" x14ac:dyDescent="0.35">
      <c r="A7" s="47" t="s">
        <v>129</v>
      </c>
      <c r="B7" s="52"/>
      <c r="C7" s="53">
        <v>0.13213753321666988</v>
      </c>
      <c r="D7" s="53">
        <v>0.11957750712026449</v>
      </c>
      <c r="E7" s="53">
        <v>0.11783805895737975</v>
      </c>
      <c r="F7" s="53">
        <v>0.11814418370614344</v>
      </c>
      <c r="G7" s="53">
        <v>0.1601329583226796</v>
      </c>
      <c r="H7" s="53">
        <v>0.19622328796106903</v>
      </c>
      <c r="I7" s="53">
        <v>0.20873314172009727</v>
      </c>
      <c r="J7" s="53">
        <v>1.3212367312347206E-2</v>
      </c>
      <c r="K7" s="53">
        <v>-0.14960284029365745</v>
      </c>
      <c r="L7" s="53">
        <v>4.3108145401538289E-2</v>
      </c>
      <c r="M7" s="53">
        <v>0.13134026633019258</v>
      </c>
      <c r="N7" s="53">
        <v>7.4317031636006003E-2</v>
      </c>
      <c r="O7" s="53">
        <v>5.5490439034191708E-2</v>
      </c>
      <c r="P7" s="53">
        <v>6.0145525308289427E-2</v>
      </c>
      <c r="Q7" s="53">
        <v>2.9084905378038872E-2</v>
      </c>
      <c r="R7" s="53">
        <v>5.4121650114147046E-2</v>
      </c>
      <c r="S7" s="53">
        <v>9.5903512523048073E-2</v>
      </c>
      <c r="T7" s="75">
        <v>8.805216165413543E-2</v>
      </c>
      <c r="U7" s="53">
        <v>7.0665041916998961E-2</v>
      </c>
      <c r="V7" s="53">
        <v>-1.0794281947941076E-2</v>
      </c>
      <c r="W7" s="53">
        <v>0.14490806480975782</v>
      </c>
      <c r="X7" s="54">
        <v>0.15977733053236176</v>
      </c>
      <c r="Y7" s="54">
        <v>5.7977226530538495E-2</v>
      </c>
      <c r="Z7" s="54">
        <v>4.5933351956455093E-2</v>
      </c>
      <c r="AA7" s="54">
        <v>4.4291531611970747E-2</v>
      </c>
      <c r="AB7" s="54">
        <v>4.2382575334334094E-2</v>
      </c>
      <c r="AC7" s="53">
        <v>3.9168693790410103E-2</v>
      </c>
      <c r="AD7" s="53">
        <v>3.7440176456791541E-2</v>
      </c>
      <c r="AE7" s="53">
        <v>3.7049189661791937E-2</v>
      </c>
      <c r="AF7" s="53">
        <v>3.6727292124909106E-2</v>
      </c>
      <c r="AG7" s="53">
        <v>3.6972276610701238E-2</v>
      </c>
      <c r="AH7" s="53">
        <v>3.6951902537668335E-2</v>
      </c>
      <c r="AI7" s="53">
        <v>3.6939050857694777E-2</v>
      </c>
      <c r="AJ7" s="53">
        <v>3.6436542437622066E-2</v>
      </c>
      <c r="AK7" s="53">
        <v>3.5043642716307222E-2</v>
      </c>
      <c r="AL7" s="53">
        <v>3.4277421848912581E-2</v>
      </c>
      <c r="AM7" s="53">
        <v>3.4350016094371272E-2</v>
      </c>
      <c r="AN7" s="53">
        <v>3.4691617021354482E-2</v>
      </c>
      <c r="AO7" s="53">
        <v>3.4380506809868816E-2</v>
      </c>
      <c r="AP7" s="53">
        <v>3.4378932616278002E-2</v>
      </c>
      <c r="AQ7" s="53">
        <v>3.4796838170816136E-2</v>
      </c>
      <c r="AR7" s="53">
        <v>3.4666013416034813E-2</v>
      </c>
      <c r="AS7" s="53">
        <v>3.4446781858312958E-2</v>
      </c>
      <c r="AT7" s="53">
        <v>3.367504288804879E-2</v>
      </c>
      <c r="AU7" s="53">
        <v>3.3983078312039394E-2</v>
      </c>
      <c r="AV7" s="53">
        <v>3.3689452499272132E-2</v>
      </c>
      <c r="AW7" s="53">
        <v>3.3542041069617889E-2</v>
      </c>
      <c r="AX7" s="53">
        <v>3.3300148100174454E-2</v>
      </c>
      <c r="AY7" s="53">
        <v>3.3028935563190087E-2</v>
      </c>
      <c r="AZ7" s="53">
        <v>3.2857074732575597E-2</v>
      </c>
      <c r="BA7" s="53">
        <v>3.2693328613263128E-2</v>
      </c>
      <c r="BB7" s="53">
        <v>3.267402399474828E-2</v>
      </c>
      <c r="BC7" s="53">
        <v>3.265408113799273E-2</v>
      </c>
      <c r="BD7" s="53">
        <v>3.273185116157884E-2</v>
      </c>
      <c r="BE7" s="53">
        <v>3.2859804480585675E-2</v>
      </c>
      <c r="BF7" s="53">
        <v>3.3059488620854616E-2</v>
      </c>
      <c r="BG7" s="53">
        <v>3.3328938522818596E-2</v>
      </c>
      <c r="BH7" s="53">
        <v>3.3666076467970818E-2</v>
      </c>
      <c r="BI7" s="53">
        <v>3.4061763472719608E-2</v>
      </c>
      <c r="BJ7" s="53">
        <v>3.4515355289981287E-2</v>
      </c>
      <c r="BK7" s="53">
        <v>3.5000391289083055E-2</v>
      </c>
      <c r="BL7" s="53">
        <v>3.5152950734838928E-2</v>
      </c>
      <c r="BM7" s="53">
        <v>3.5423310868230695E-2</v>
      </c>
      <c r="BN7" s="53">
        <v>3.5764015945027428E-2</v>
      </c>
      <c r="BO7" s="53">
        <v>3.6013838535601916E-2</v>
      </c>
      <c r="BP7" s="53">
        <v>3.6184721495660765E-2</v>
      </c>
      <c r="BQ7" s="53">
        <v>3.6260392268377295E-2</v>
      </c>
      <c r="BR7" s="53">
        <v>3.6295882247026512E-2</v>
      </c>
      <c r="BS7" s="53">
        <v>3.6126528523931389E-2</v>
      </c>
      <c r="BT7" s="55">
        <v>3.5830838675863674E-2</v>
      </c>
      <c r="BU7" s="35"/>
    </row>
    <row r="8" spans="1:73" x14ac:dyDescent="0.35">
      <c r="A8" s="47" t="s">
        <v>130</v>
      </c>
      <c r="B8" s="56">
        <v>0.04</v>
      </c>
      <c r="C8" s="53">
        <v>5.8000000000000003E-2</v>
      </c>
      <c r="D8" s="53">
        <v>3.5999999999999997E-2</v>
      </c>
      <c r="E8" s="53">
        <v>1.325E-2</v>
      </c>
      <c r="F8" s="53">
        <v>3.0492500000000002E-2</v>
      </c>
      <c r="G8" s="53">
        <v>4.0844640073094303E-2</v>
      </c>
      <c r="H8" s="53">
        <v>4.4299999999999999E-2</v>
      </c>
      <c r="I8" s="53">
        <v>6.5799999999999997E-2</v>
      </c>
      <c r="J8" s="53">
        <v>0.103975</v>
      </c>
      <c r="K8" s="53">
        <v>-7.5000000000000067E-4</v>
      </c>
      <c r="L8" s="53">
        <v>2.9825000000000001E-2</v>
      </c>
      <c r="M8" s="53">
        <v>4.9824999999999987E-2</v>
      </c>
      <c r="N8" s="53">
        <v>3.9376943014055255E-2</v>
      </c>
      <c r="O8" s="53">
        <v>2.7924999999999998E-2</v>
      </c>
      <c r="P8" s="53">
        <v>-1.1000000000000001E-3</v>
      </c>
      <c r="Q8" s="53">
        <v>-4.908794417839684E-3</v>
      </c>
      <c r="R8" s="53">
        <v>1.4950000000000005E-3</v>
      </c>
      <c r="S8" s="53">
        <v>3.4116580245174132E-2</v>
      </c>
      <c r="T8" s="75">
        <v>3.4299999999999997E-2</v>
      </c>
      <c r="U8" s="53">
        <v>2.2899941883818931E-2</v>
      </c>
      <c r="V8" s="53">
        <v>-4.3913783560060107E-3</v>
      </c>
      <c r="W8" s="53">
        <v>4.6497999999999998E-2</v>
      </c>
      <c r="X8" s="54">
        <v>0.19470000000000001</v>
      </c>
      <c r="Y8" s="54">
        <v>6.6799999999999998E-2</v>
      </c>
      <c r="Z8" s="54">
        <v>9.7999999999999997E-3</v>
      </c>
      <c r="AA8" s="54">
        <v>1.5100000000000001E-2</v>
      </c>
      <c r="AB8" s="54">
        <v>1.8800000000000001E-2</v>
      </c>
      <c r="AC8" s="53">
        <v>0.02</v>
      </c>
      <c r="AD8" s="53">
        <v>0.02</v>
      </c>
      <c r="AE8" s="53">
        <v>0.02</v>
      </c>
      <c r="AF8" s="53">
        <v>0.02</v>
      </c>
      <c r="AG8" s="53">
        <v>0.02</v>
      </c>
      <c r="AH8" s="53">
        <v>0.02</v>
      </c>
      <c r="AI8" s="53">
        <v>0.02</v>
      </c>
      <c r="AJ8" s="53">
        <v>0.02</v>
      </c>
      <c r="AK8" s="53">
        <v>0.02</v>
      </c>
      <c r="AL8" s="53">
        <v>0.02</v>
      </c>
      <c r="AM8" s="53">
        <v>0.02</v>
      </c>
      <c r="AN8" s="53">
        <v>0.02</v>
      </c>
      <c r="AO8" s="53">
        <v>0.02</v>
      </c>
      <c r="AP8" s="53">
        <v>0.02</v>
      </c>
      <c r="AQ8" s="53">
        <v>0.02</v>
      </c>
      <c r="AR8" s="53">
        <v>0.02</v>
      </c>
      <c r="AS8" s="53">
        <v>0.02</v>
      </c>
      <c r="AT8" s="53">
        <v>0.02</v>
      </c>
      <c r="AU8" s="53">
        <v>0.02</v>
      </c>
      <c r="AV8" s="53">
        <v>0.02</v>
      </c>
      <c r="AW8" s="53">
        <v>0.02</v>
      </c>
      <c r="AX8" s="53">
        <v>0.02</v>
      </c>
      <c r="AY8" s="53">
        <v>0.02</v>
      </c>
      <c r="AZ8" s="53">
        <v>0.02</v>
      </c>
      <c r="BA8" s="53">
        <v>0.02</v>
      </c>
      <c r="BB8" s="53">
        <v>0.02</v>
      </c>
      <c r="BC8" s="53">
        <v>0.02</v>
      </c>
      <c r="BD8" s="53">
        <v>0.02</v>
      </c>
      <c r="BE8" s="53">
        <v>0.02</v>
      </c>
      <c r="BF8" s="53">
        <v>0.02</v>
      </c>
      <c r="BG8" s="53">
        <v>0.02</v>
      </c>
      <c r="BH8" s="53">
        <v>0.02</v>
      </c>
      <c r="BI8" s="53">
        <v>0.02</v>
      </c>
      <c r="BJ8" s="53">
        <v>0.02</v>
      </c>
      <c r="BK8" s="53">
        <v>0.02</v>
      </c>
      <c r="BL8" s="53">
        <v>0.02</v>
      </c>
      <c r="BM8" s="53">
        <v>0.02</v>
      </c>
      <c r="BN8" s="53">
        <v>0.02</v>
      </c>
      <c r="BO8" s="53">
        <v>0.02</v>
      </c>
      <c r="BP8" s="53">
        <v>0.02</v>
      </c>
      <c r="BQ8" s="53">
        <v>0.02</v>
      </c>
      <c r="BR8" s="53">
        <v>0.02</v>
      </c>
      <c r="BS8" s="53">
        <v>0.02</v>
      </c>
      <c r="BT8" s="55">
        <v>0.02</v>
      </c>
      <c r="BU8" s="35"/>
    </row>
    <row r="9" spans="1:73" x14ac:dyDescent="0.35">
      <c r="A9" s="47" t="s">
        <v>131</v>
      </c>
      <c r="B9" s="57">
        <v>585.29999999999995</v>
      </c>
      <c r="C9" s="58">
        <v>589.6</v>
      </c>
      <c r="D9" s="58">
        <v>589.9</v>
      </c>
      <c r="E9" s="58">
        <v>602.9</v>
      </c>
      <c r="F9" s="58">
        <v>601.9</v>
      </c>
      <c r="G9" s="58">
        <v>615.6</v>
      </c>
      <c r="H9" s="58">
        <v>651.70000000000005</v>
      </c>
      <c r="I9" s="58">
        <v>657.6</v>
      </c>
      <c r="J9" s="58">
        <v>656</v>
      </c>
      <c r="K9" s="58">
        <v>593.9</v>
      </c>
      <c r="L9" s="58">
        <v>568</v>
      </c>
      <c r="M9" s="58">
        <v>603.20000000000005</v>
      </c>
      <c r="N9" s="58">
        <v>614.9</v>
      </c>
      <c r="O9" s="58">
        <v>621.29999999999995</v>
      </c>
      <c r="P9" s="58">
        <v>624.79999999999995</v>
      </c>
      <c r="Q9" s="58">
        <v>640.9</v>
      </c>
      <c r="R9" s="58">
        <v>644.625</v>
      </c>
      <c r="S9" s="58">
        <v>658.57500000000005</v>
      </c>
      <c r="T9" s="76">
        <v>661.6</v>
      </c>
      <c r="U9" s="58">
        <v>668.3</v>
      </c>
      <c r="V9" s="58">
        <v>653.79999999999995</v>
      </c>
      <c r="W9" s="58">
        <v>650.5</v>
      </c>
      <c r="X9" s="59">
        <v>669.19651249783942</v>
      </c>
      <c r="Y9" s="59">
        <v>672.37591439836615</v>
      </c>
      <c r="Z9" s="59">
        <v>673.72066622716306</v>
      </c>
      <c r="AA9" s="59">
        <v>674.39438689339033</v>
      </c>
      <c r="AB9" s="59">
        <v>674.05718969994371</v>
      </c>
      <c r="AC9" s="58">
        <v>672.75769831575656</v>
      </c>
      <c r="AD9" s="58">
        <v>670.40077048021942</v>
      </c>
      <c r="AE9" s="58">
        <v>667.85705838006504</v>
      </c>
      <c r="AF9" s="58">
        <v>665.17299172607909</v>
      </c>
      <c r="AG9" s="58">
        <v>662.71256873394532</v>
      </c>
      <c r="AH9" s="58">
        <v>660.30437843289576</v>
      </c>
      <c r="AI9" s="58">
        <v>657.95269452091168</v>
      </c>
      <c r="AJ9" s="58">
        <v>655.34736559679754</v>
      </c>
      <c r="AK9" s="58">
        <v>651.93050565537055</v>
      </c>
      <c r="AL9" s="58">
        <v>648.10645315649003</v>
      </c>
      <c r="AM9" s="58">
        <v>644.40483093774014</v>
      </c>
      <c r="AN9" s="58">
        <v>640.99044485643606</v>
      </c>
      <c r="AO9" s="58">
        <v>637.69918974006896</v>
      </c>
      <c r="AP9" s="58">
        <v>634.50543716444372</v>
      </c>
      <c r="AQ9" s="58">
        <v>631.6642156616731</v>
      </c>
      <c r="AR9" s="58">
        <v>628.83765072599783</v>
      </c>
      <c r="AS9" s="58">
        <v>625.97193049157909</v>
      </c>
      <c r="AT9" s="58">
        <v>622.73500643526052</v>
      </c>
      <c r="AU9" s="58">
        <v>619.77993412426633</v>
      </c>
      <c r="AV9" s="58">
        <v>616.73872713368473</v>
      </c>
      <c r="AW9" s="58">
        <v>613.70041423338523</v>
      </c>
      <c r="AX9" s="58">
        <v>610.60893257837859</v>
      </c>
      <c r="AY9" s="58">
        <v>607.4478409888236</v>
      </c>
      <c r="AZ9" s="58">
        <v>604.27677624121952</v>
      </c>
      <c r="BA9" s="58">
        <v>601.10076370910065</v>
      </c>
      <c r="BB9" s="58">
        <v>598.00419477449555</v>
      </c>
      <c r="BC9" s="58">
        <v>594.98572151585893</v>
      </c>
      <c r="BD9" s="58">
        <v>592.10063893899712</v>
      </c>
      <c r="BE9" s="58">
        <v>589.37588710467094</v>
      </c>
      <c r="BF9" s="58">
        <v>586.8503830803221</v>
      </c>
      <c r="BG9" s="58">
        <v>584.56138467339269</v>
      </c>
      <c r="BH9" s="58">
        <v>582.54450147603973</v>
      </c>
      <c r="BI9" s="58">
        <v>580.82996264544988</v>
      </c>
      <c r="BJ9" s="58">
        <v>579.4476678242612</v>
      </c>
      <c r="BK9" s="58">
        <v>578.41283594749086</v>
      </c>
      <c r="BL9" s="58">
        <v>577.53688626874634</v>
      </c>
      <c r="BM9" s="58">
        <v>576.88508417560206</v>
      </c>
      <c r="BN9" s="58">
        <v>576.49607658722425</v>
      </c>
      <c r="BO9" s="58">
        <v>576.3184662426487</v>
      </c>
      <c r="BP9" s="58">
        <v>576.30794632746245</v>
      </c>
      <c r="BQ9" s="58">
        <v>576.41123541317609</v>
      </c>
      <c r="BR9" s="58">
        <v>576.60588722506884</v>
      </c>
      <c r="BS9" s="58">
        <v>576.77733792190031</v>
      </c>
      <c r="BT9" s="60">
        <v>576.8547481968975</v>
      </c>
      <c r="BU9" s="35"/>
    </row>
    <row r="10" spans="1:73" x14ac:dyDescent="0.35">
      <c r="A10" s="47" t="s">
        <v>132</v>
      </c>
      <c r="B10" s="61"/>
      <c r="C10" s="62">
        <v>7.3466598325646615E-3</v>
      </c>
      <c r="D10" s="62">
        <v>5.0881953867021323E-4</v>
      </c>
      <c r="E10" s="62">
        <v>2.2037633497203002E-2</v>
      </c>
      <c r="F10" s="62">
        <v>-1.6586498590147603E-3</v>
      </c>
      <c r="G10" s="62">
        <v>2.2761256022595155E-2</v>
      </c>
      <c r="H10" s="63">
        <v>5.8641975308642014E-2</v>
      </c>
      <c r="I10" s="63">
        <v>9.0532453582936601E-3</v>
      </c>
      <c r="J10" s="63">
        <v>-2.4330900243308973E-3</v>
      </c>
      <c r="K10" s="63">
        <v>-9.466463414634152E-2</v>
      </c>
      <c r="L10" s="63">
        <v>-4.3610035359488042E-2</v>
      </c>
      <c r="M10" s="63">
        <v>6.1971830985915632E-2</v>
      </c>
      <c r="N10" s="63">
        <v>1.93965517241379E-2</v>
      </c>
      <c r="O10" s="63">
        <v>1.040819645470803E-2</v>
      </c>
      <c r="P10" s="63">
        <v>5.6333494286173735E-3</v>
      </c>
      <c r="Q10" s="63">
        <v>2.5768245838668324E-2</v>
      </c>
      <c r="R10" s="63">
        <v>5.812139179279141E-3</v>
      </c>
      <c r="S10" s="63">
        <v>2.1640488656195611E-2</v>
      </c>
      <c r="T10" s="77">
        <v>4.5932505789014755E-3</v>
      </c>
      <c r="U10" s="63">
        <v>1.012696493349452E-2</v>
      </c>
      <c r="V10" s="63">
        <v>-2.1696842735298483E-2</v>
      </c>
      <c r="W10" s="63">
        <v>-5.0474151116548516E-3</v>
      </c>
      <c r="X10" s="64">
        <v>2.8741756337954616E-2</v>
      </c>
      <c r="Y10" s="64">
        <v>4.7510736250839791E-3</v>
      </c>
      <c r="Z10" s="64">
        <v>2.0000000000002238E-3</v>
      </c>
      <c r="AA10" s="64">
        <v>1.0000000000001119E-3</v>
      </c>
      <c r="AB10" s="64">
        <v>-4.9999999999994493E-4</v>
      </c>
      <c r="AC10" s="63">
        <v>-1.9278651782731471E-3</v>
      </c>
      <c r="AD10" s="63">
        <v>-3.5033829288578788E-3</v>
      </c>
      <c r="AE10" s="63">
        <v>-3.794315597716702E-3</v>
      </c>
      <c r="AF10" s="63">
        <v>-4.0189238405241579E-3</v>
      </c>
      <c r="AG10" s="63">
        <v>-3.6989219687786346E-3</v>
      </c>
      <c r="AH10" s="63">
        <v>-3.6338382802217906E-3</v>
      </c>
      <c r="AI10" s="63">
        <v>-3.5615149449188532E-3</v>
      </c>
      <c r="AJ10" s="63">
        <v>-3.9597511277177366E-3</v>
      </c>
      <c r="AK10" s="63">
        <v>-5.2138150251285209E-3</v>
      </c>
      <c r="AL10" s="63">
        <v>-5.865736402434929E-3</v>
      </c>
      <c r="AM10" s="63">
        <v>-5.7114416940640123E-3</v>
      </c>
      <c r="AN10" s="63">
        <v>-5.2985109939903685E-3</v>
      </c>
      <c r="AO10" s="63">
        <v>-5.1346399041942714E-3</v>
      </c>
      <c r="AP10" s="63">
        <v>-5.0082431136960759E-3</v>
      </c>
      <c r="AQ10" s="63">
        <v>-4.477852097639734E-3</v>
      </c>
      <c r="AR10" s="63">
        <v>-4.4747903484043672E-3</v>
      </c>
      <c r="AS10" s="63">
        <v>-4.5571702507161138E-3</v>
      </c>
      <c r="AT10" s="63">
        <v>-5.1710370683499818E-3</v>
      </c>
      <c r="AU10" s="63">
        <v>-4.7453126618174357E-3</v>
      </c>
      <c r="AV10" s="63">
        <v>-4.9069142499406082E-3</v>
      </c>
      <c r="AW10" s="63">
        <v>-4.92641821670603E-3</v>
      </c>
      <c r="AX10" s="63">
        <v>-5.0374443023122328E-3</v>
      </c>
      <c r="AY10" s="63">
        <v>-5.1769494694531293E-3</v>
      </c>
      <c r="AZ10" s="63">
        <v>-5.2203078744046394E-3</v>
      </c>
      <c r="BA10" s="63">
        <v>-5.2558904412554064E-3</v>
      </c>
      <c r="BB10" s="63">
        <v>-5.1514972556309102E-3</v>
      </c>
      <c r="BC10" s="63">
        <v>-5.0475787377626258E-3</v>
      </c>
      <c r="BD10" s="63">
        <v>-4.8489946439578269E-3</v>
      </c>
      <c r="BE10" s="63">
        <v>-4.6018390373784301E-3</v>
      </c>
      <c r="BF10" s="63">
        <v>-4.2850480985155981E-3</v>
      </c>
      <c r="BG10" s="63">
        <v>-3.9004803829464363E-3</v>
      </c>
      <c r="BH10" s="63">
        <v>-3.4502504787924382E-3</v>
      </c>
      <c r="BI10" s="63">
        <v>-2.94318944946792E-3</v>
      </c>
      <c r="BJ10" s="63">
        <v>-2.3798614225974957E-3</v>
      </c>
      <c r="BK10" s="63">
        <v>-1.785893591833676E-3</v>
      </c>
      <c r="BL10" s="63">
        <v>-1.5144022129274237E-3</v>
      </c>
      <c r="BM10" s="63">
        <v>-1.1285895475098284E-3</v>
      </c>
      <c r="BN10" s="63">
        <v>-6.7432422686697358E-4</v>
      </c>
      <c r="BO10" s="63">
        <v>-3.0808595546216733E-4</v>
      </c>
      <c r="BP10" s="63">
        <v>-1.8253649331834154E-5</v>
      </c>
      <c r="BQ10" s="63">
        <v>1.7922551020133071E-4</v>
      </c>
      <c r="BR10" s="63">
        <v>3.3769607518707723E-4</v>
      </c>
      <c r="BS10" s="63">
        <v>2.9734468660480573E-4</v>
      </c>
      <c r="BT10" s="65">
        <v>1.3421171378902308E-4</v>
      </c>
      <c r="BU10" s="35"/>
    </row>
    <row r="11" spans="1:73" x14ac:dyDescent="0.35">
      <c r="A11" s="47" t="s">
        <v>133</v>
      </c>
      <c r="B11" s="56">
        <v>0.14592149423610098</v>
      </c>
      <c r="C11" s="53">
        <v>0.13012688108586604</v>
      </c>
      <c r="D11" s="53">
        <v>0.11226486079759217</v>
      </c>
      <c r="E11" s="53">
        <v>0.10336109458655562</v>
      </c>
      <c r="F11" s="53">
        <v>0.10137354434159453</v>
      </c>
      <c r="G11" s="53">
        <v>8.0370481027786073E-2</v>
      </c>
      <c r="H11" s="53">
        <v>5.9188681969106392E-2</v>
      </c>
      <c r="I11" s="53">
        <v>4.5850261172373764E-2</v>
      </c>
      <c r="J11" s="53">
        <v>5.4482559815508792E-2</v>
      </c>
      <c r="K11" s="53">
        <v>0.13551673944687045</v>
      </c>
      <c r="L11" s="53">
        <v>0.16703328933861272</v>
      </c>
      <c r="M11" s="53">
        <v>0.12325581395348836</v>
      </c>
      <c r="N11" s="53">
        <v>0.10023412350014634</v>
      </c>
      <c r="O11" s="53">
        <v>8.6323529411764716E-2</v>
      </c>
      <c r="P11" s="53">
        <v>7.354685646500593E-2</v>
      </c>
      <c r="Q11" s="53">
        <v>6.1880191751747485E-2</v>
      </c>
      <c r="R11" s="53">
        <v>6.7551441073301327E-2</v>
      </c>
      <c r="S11" s="53">
        <v>5.7628331246646361E-2</v>
      </c>
      <c r="T11" s="75">
        <v>5.3783435846087829E-2</v>
      </c>
      <c r="U11" s="53">
        <v>4.4739851343624931E-2</v>
      </c>
      <c r="V11" s="53">
        <v>6.8926231842779823E-2</v>
      </c>
      <c r="W11" s="53">
        <v>6.2139561707035752E-2</v>
      </c>
      <c r="X11" s="54">
        <v>6.0183637235297828E-2</v>
      </c>
      <c r="Y11" s="54">
        <v>6.3726913557534848E-2</v>
      </c>
      <c r="Z11" s="54">
        <v>6.1307184751317863E-2</v>
      </c>
      <c r="AA11" s="54">
        <v>5.9801144379993787E-2</v>
      </c>
      <c r="AB11" s="54">
        <v>6.0080515657936588E-2</v>
      </c>
      <c r="AC11" s="53">
        <v>6.025444800030777E-2</v>
      </c>
      <c r="AD11" s="53">
        <v>6.0428527975464996E-2</v>
      </c>
      <c r="AE11" s="53">
        <v>6.0602755771452355E-2</v>
      </c>
      <c r="AF11" s="53">
        <v>6.0777131576634343E-2</v>
      </c>
      <c r="AG11" s="53">
        <v>6.0951655579695223E-2</v>
      </c>
      <c r="AH11" s="53">
        <v>6.1126327969639939E-2</v>
      </c>
      <c r="AI11" s="53">
        <v>6.1301148935795517E-2</v>
      </c>
      <c r="AJ11" s="53">
        <v>6.1476118667810387E-2</v>
      </c>
      <c r="AK11" s="53">
        <v>6.1651237355656474E-2</v>
      </c>
      <c r="AL11" s="53">
        <v>6.1826505189629621E-2</v>
      </c>
      <c r="AM11" s="53">
        <v>6.2001922360348731E-2</v>
      </c>
      <c r="AN11" s="53">
        <v>6.2177489058759146E-2</v>
      </c>
      <c r="AO11" s="53">
        <v>6.235320547613063E-2</v>
      </c>
      <c r="AP11" s="53">
        <v>6.2529071804060032E-2</v>
      </c>
      <c r="AQ11" s="53">
        <v>6.2417046399298605E-2</v>
      </c>
      <c r="AR11" s="53">
        <v>6.2990394244711964E-2</v>
      </c>
      <c r="AS11" s="53">
        <v>6.3267974238221447E-2</v>
      </c>
      <c r="AT11" s="53">
        <v>6.3813696049360116E-2</v>
      </c>
      <c r="AU11" s="53">
        <v>6.3757857819636277E-2</v>
      </c>
      <c r="AV11" s="53">
        <v>6.372063098383722E-2</v>
      </c>
      <c r="AW11" s="53">
        <v>6.3664913495132133E-2</v>
      </c>
      <c r="AX11" s="53">
        <v>6.3609085050719646E-2</v>
      </c>
      <c r="AY11" s="53">
        <v>6.3546277945306456E-2</v>
      </c>
      <c r="AZ11" s="53">
        <v>6.3478686858458033E-2</v>
      </c>
      <c r="BA11" s="53">
        <v>6.340315149353315E-2</v>
      </c>
      <c r="BB11" s="53">
        <v>6.3313470856934867E-2</v>
      </c>
      <c r="BC11" s="53">
        <v>6.3210621156654379E-2</v>
      </c>
      <c r="BD11" s="53">
        <v>6.3094502618965556E-2</v>
      </c>
      <c r="BE11" s="53">
        <v>6.2985477052918959E-2</v>
      </c>
      <c r="BF11" s="53">
        <v>6.2891445693111031E-2</v>
      </c>
      <c r="BG11" s="53">
        <v>6.2828605913506502E-2</v>
      </c>
      <c r="BH11" s="53">
        <v>6.2801719063787731E-2</v>
      </c>
      <c r="BI11" s="53">
        <v>6.2811475604695424E-2</v>
      </c>
      <c r="BJ11" s="53">
        <v>6.2843285545990016E-2</v>
      </c>
      <c r="BK11" s="53">
        <v>6.2865931456228943E-2</v>
      </c>
      <c r="BL11" s="53">
        <v>6.2898336143431641E-2</v>
      </c>
      <c r="BM11" s="53">
        <v>6.2940554666615425E-2</v>
      </c>
      <c r="BN11" s="53">
        <v>6.2976360156600256E-2</v>
      </c>
      <c r="BO11" s="53">
        <v>6.300222441708371E-2</v>
      </c>
      <c r="BP11" s="53">
        <v>6.3012920158875621E-2</v>
      </c>
      <c r="BQ11" s="53">
        <v>6.3011389665954612E-2</v>
      </c>
      <c r="BR11" s="53">
        <v>6.2984079212922192E-2</v>
      </c>
      <c r="BS11" s="53">
        <v>6.2938547825092922E-2</v>
      </c>
      <c r="BT11" s="55">
        <v>6.2881649630745093E-2</v>
      </c>
      <c r="BU11" s="35"/>
    </row>
    <row r="12" spans="1:73" x14ac:dyDescent="0.35">
      <c r="A12" s="47" t="s">
        <v>134</v>
      </c>
      <c r="B12" s="52"/>
      <c r="C12" s="53">
        <v>5.2304164186785851E-2</v>
      </c>
      <c r="D12" s="53">
        <v>6.7172269802825868E-2</v>
      </c>
      <c r="E12" s="53">
        <v>5.2781462306292104E-2</v>
      </c>
      <c r="F12" s="53">
        <v>6.9817877442984289E-2</v>
      </c>
      <c r="G12" s="53">
        <v>7.0887579074392582E-2</v>
      </c>
      <c r="H12" s="53">
        <v>3.6853278684364721E-2</v>
      </c>
      <c r="I12" s="53">
        <v>6.6139395267747592E-2</v>
      </c>
      <c r="J12" s="53">
        <v>-4.9006971035927882E-2</v>
      </c>
      <c r="K12" s="53">
        <v>-5.7026338508657681E-2</v>
      </c>
      <c r="L12" s="53">
        <v>7.1166222052997385E-2</v>
      </c>
      <c r="M12" s="53">
        <v>1.0035762700735029E-2</v>
      </c>
      <c r="N12" s="53">
        <v>1.2634993199161615E-2</v>
      </c>
      <c r="O12" s="53">
        <v>4.1299586113721087E-3</v>
      </c>
      <c r="P12" s="53">
        <v>2.4350813649926417E-2</v>
      </c>
      <c r="Q12" s="53">
        <v>-7.0634185827170848E-3</v>
      </c>
      <c r="R12" s="53">
        <v>2.5597927161172374E-2</v>
      </c>
      <c r="S12" s="53">
        <v>3.5507511842535422E-2</v>
      </c>
      <c r="T12" s="75">
        <v>3.3100590638083238E-2</v>
      </c>
      <c r="U12" s="53">
        <v>2.6998359456463117E-2</v>
      </c>
      <c r="V12" s="53">
        <v>1.6544481968431946E-2</v>
      </c>
      <c r="W12" s="53">
        <v>8.561677780683663E-2</v>
      </c>
      <c r="X12" s="54">
        <v>-1.8158876721241057E-2</v>
      </c>
      <c r="Y12" s="54">
        <v>6.4902618836470971E-4</v>
      </c>
      <c r="Z12" s="54">
        <v>2.7994742607783563E-2</v>
      </c>
      <c r="AA12" s="54">
        <v>2.4244736925406407E-2</v>
      </c>
      <c r="AB12" s="54">
        <v>2.0847428052542805E-2</v>
      </c>
      <c r="AC12" s="53">
        <v>2.076072610863533E-2</v>
      </c>
      <c r="AD12" s="53">
        <v>2.0674024164728078E-2</v>
      </c>
      <c r="AE12" s="53">
        <v>2.0587322220820603E-2</v>
      </c>
      <c r="AF12" s="53">
        <v>2.0500620276913351E-2</v>
      </c>
      <c r="AG12" s="53">
        <v>2.0413918333005876E-2</v>
      </c>
      <c r="AH12" s="53">
        <v>2.0327216389098623E-2</v>
      </c>
      <c r="AI12" s="53">
        <v>2.0240514445191149E-2</v>
      </c>
      <c r="AJ12" s="53">
        <v>2.0153812501283896E-2</v>
      </c>
      <c r="AK12" s="53">
        <v>2.0067110557376422E-2</v>
      </c>
      <c r="AL12" s="53">
        <v>1.9980408613469169E-2</v>
      </c>
      <c r="AM12" s="53">
        <v>1.9893706669561695E-2</v>
      </c>
      <c r="AN12" s="53">
        <v>1.9807004725654442E-2</v>
      </c>
      <c r="AO12" s="53">
        <v>1.9332441115900156E-2</v>
      </c>
      <c r="AP12" s="53">
        <v>1.9201401159885112E-2</v>
      </c>
      <c r="AQ12" s="53">
        <v>1.9069948595997532E-2</v>
      </c>
      <c r="AR12" s="53">
        <v>1.8937978356697638E-2</v>
      </c>
      <c r="AS12" s="53">
        <v>1.8806385778305401E-2</v>
      </c>
      <c r="AT12" s="53">
        <v>1.867450843591012E-2</v>
      </c>
      <c r="AU12" s="53">
        <v>1.8542201511348111E-2</v>
      </c>
      <c r="AV12" s="53">
        <v>1.8418323244761892E-2</v>
      </c>
      <c r="AW12" s="53">
        <v>1.829304827553635E-2</v>
      </c>
      <c r="AX12" s="53">
        <v>1.8168327120773098E-2</v>
      </c>
      <c r="AY12" s="53">
        <v>1.8043827692072023E-2</v>
      </c>
      <c r="AZ12" s="53">
        <v>1.7918824885067464E-2</v>
      </c>
      <c r="BA12" s="53">
        <v>1.779385279901935E-2</v>
      </c>
      <c r="BB12" s="53">
        <v>1.7668027772555162E-2</v>
      </c>
      <c r="BC12" s="53">
        <v>1.754208569653315E-2</v>
      </c>
      <c r="BD12" s="53">
        <v>1.7415650058970389E-2</v>
      </c>
      <c r="BE12" s="53">
        <v>1.728905192299135E-2</v>
      </c>
      <c r="BF12" s="53">
        <v>1.7162008346270685E-2</v>
      </c>
      <c r="BG12" s="53">
        <v>1.7034509941884934E-2</v>
      </c>
      <c r="BH12" s="53">
        <v>1.6906697002505355E-2</v>
      </c>
      <c r="BI12" s="53">
        <v>1.6778614711577156E-2</v>
      </c>
      <c r="BJ12" s="53">
        <v>1.6650227136210338E-2</v>
      </c>
      <c r="BK12" s="53">
        <v>1.6521665498062443E-2</v>
      </c>
      <c r="BL12" s="53">
        <v>1.6395064989392027E-2</v>
      </c>
      <c r="BM12" s="53">
        <v>1.6267842272328137E-2</v>
      </c>
      <c r="BN12" s="53">
        <v>1.6140125497678959E-2</v>
      </c>
      <c r="BO12" s="53">
        <v>1.6012860994611966E-2</v>
      </c>
      <c r="BP12" s="53">
        <v>1.5885917640655389E-2</v>
      </c>
      <c r="BQ12" s="53">
        <v>1.5759511030822404E-2</v>
      </c>
      <c r="BR12" s="53">
        <v>1.5633379737977071E-2</v>
      </c>
      <c r="BS12" s="53">
        <v>1.5508366065433377E-2</v>
      </c>
      <c r="BT12" s="55">
        <v>1.5384153626963659E-2</v>
      </c>
      <c r="BU12" s="35"/>
    </row>
    <row r="13" spans="1:73" x14ac:dyDescent="0.35">
      <c r="A13" s="47" t="s">
        <v>135</v>
      </c>
      <c r="B13" s="48">
        <v>313.61445937136506</v>
      </c>
      <c r="C13" s="49">
        <v>352.15318343921365</v>
      </c>
      <c r="D13" s="49">
        <v>392.67316861171116</v>
      </c>
      <c r="E13" s="49">
        <v>429.67801311467031</v>
      </c>
      <c r="F13" s="49">
        <v>465.72418288957346</v>
      </c>
      <c r="G13" s="49">
        <v>515.95873863970451</v>
      </c>
      <c r="H13" s="49">
        <v>601.21687778814567</v>
      </c>
      <c r="I13" s="49">
        <v>724.50244781613901</v>
      </c>
      <c r="J13" s="49">
        <v>825.22720591054929</v>
      </c>
      <c r="K13" s="49">
        <v>783.81245999999999</v>
      </c>
      <c r="L13" s="49">
        <v>792.31271000000004</v>
      </c>
      <c r="M13" s="49">
        <v>839</v>
      </c>
      <c r="N13" s="49">
        <v>887</v>
      </c>
      <c r="O13" s="49">
        <v>949</v>
      </c>
      <c r="P13" s="49">
        <v>1005</v>
      </c>
      <c r="Q13" s="49">
        <v>1065</v>
      </c>
      <c r="R13" s="49">
        <v>1146</v>
      </c>
      <c r="S13" s="49">
        <v>1221</v>
      </c>
      <c r="T13" s="74">
        <v>1310</v>
      </c>
      <c r="U13" s="49">
        <v>1407</v>
      </c>
      <c r="V13" s="49">
        <v>1448</v>
      </c>
      <c r="W13" s="49">
        <v>1548</v>
      </c>
      <c r="X13" s="50">
        <v>1717.7802891410222</v>
      </c>
      <c r="Y13" s="50">
        <v>1844.9819195519151</v>
      </c>
      <c r="Z13" s="50">
        <v>1936.4745729424947</v>
      </c>
      <c r="AA13" s="50">
        <v>2025.5524032978494</v>
      </c>
      <c r="AB13" s="50">
        <v>2116.7022614462526</v>
      </c>
      <c r="AC13" s="49">
        <v>2203.8594680966607</v>
      </c>
      <c r="AD13" s="49">
        <v>2294.410554235671</v>
      </c>
      <c r="AE13" s="49">
        <v>2388.4792500950239</v>
      </c>
      <c r="AF13" s="49">
        <v>2486.1934473653187</v>
      </c>
      <c r="AG13" s="49">
        <v>2587.6853253070863</v>
      </c>
      <c r="AH13" s="49">
        <v>2693.0914801587282</v>
      </c>
      <c r="AI13" s="49">
        <v>2802.5530579084043</v>
      </c>
      <c r="AJ13" s="49">
        <v>2916.2158904976382</v>
      </c>
      <c r="AK13" s="49">
        <v>3034.2306355250607</v>
      </c>
      <c r="AL13" s="49">
        <v>3156.7529195193652</v>
      </c>
      <c r="AM13" s="49">
        <v>3283.9434848511373</v>
      </c>
      <c r="AN13" s="49">
        <v>3415.9683403538534</v>
      </c>
      <c r="AO13" s="49">
        <v>3551.6474940904741</v>
      </c>
      <c r="AP13" s="49">
        <v>3692.2409844510662</v>
      </c>
      <c r="AQ13" s="49">
        <v>3837.9048668331548</v>
      </c>
      <c r="AR13" s="49">
        <v>3988.7987666590311</v>
      </c>
      <c r="AS13" s="49">
        <v>4145.0899281579868</v>
      </c>
      <c r="AT13" s="49">
        <v>4306.9473938887586</v>
      </c>
      <c r="AU13" s="49">
        <v>4474.5438339723205</v>
      </c>
      <c r="AV13" s="49">
        <v>4648.0965772528643</v>
      </c>
      <c r="AW13" s="49">
        <v>4827.7869209765049</v>
      </c>
      <c r="AX13" s="49">
        <v>5013.8097276867202</v>
      </c>
      <c r="AY13" s="49">
        <v>5206.3636074238129</v>
      </c>
      <c r="AZ13" s="49">
        <v>5405.6486356970927</v>
      </c>
      <c r="BA13" s="49">
        <v>5611.8726708399845</v>
      </c>
      <c r="BB13" s="49">
        <v>5825.243860905317</v>
      </c>
      <c r="BC13" s="49">
        <v>6045.9794036748517</v>
      </c>
      <c r="BD13" s="49">
        <v>6274.2995465376553</v>
      </c>
      <c r="BE13" s="49">
        <v>6510.4317619217081</v>
      </c>
      <c r="BF13" s="49">
        <v>6754.6071230807875</v>
      </c>
      <c r="BG13" s="49">
        <v>7007.0619161778823</v>
      </c>
      <c r="BH13" s="49">
        <v>7268.0387526499462</v>
      </c>
      <c r="BI13" s="49">
        <v>7537.7861020812607</v>
      </c>
      <c r="BJ13" s="49">
        <v>7816.5577918407844</v>
      </c>
      <c r="BK13" s="49">
        <v>8104.6143519243278</v>
      </c>
      <c r="BL13" s="49">
        <v>8402.239831556848</v>
      </c>
      <c r="BM13" s="49">
        <v>8709.7046667483064</v>
      </c>
      <c r="BN13" s="49">
        <v>9027.2860009796914</v>
      </c>
      <c r="BO13" s="49">
        <v>9355.2754504094246</v>
      </c>
      <c r="BP13" s="49">
        <v>9693.9704374346802</v>
      </c>
      <c r="BQ13" s="49">
        <v>10043.677524905417</v>
      </c>
      <c r="BR13" s="49">
        <v>10404.708032610411</v>
      </c>
      <c r="BS13" s="49">
        <v>10777.38941465577</v>
      </c>
      <c r="BT13" s="51">
        <v>11162.054237690616</v>
      </c>
      <c r="BU13" s="35"/>
    </row>
    <row r="14" spans="1:73" x14ac:dyDescent="0.35">
      <c r="A14" s="47" t="s">
        <v>12</v>
      </c>
      <c r="B14" s="52"/>
      <c r="C14" s="53">
        <v>0.12288567352761359</v>
      </c>
      <c r="D14" s="53">
        <v>0.11506352087114324</v>
      </c>
      <c r="E14" s="53">
        <v>9.423828125E-2</v>
      </c>
      <c r="F14" s="53">
        <v>8.3891120035698208E-2</v>
      </c>
      <c r="G14" s="53">
        <v>0.10786331823795803</v>
      </c>
      <c r="H14" s="53">
        <v>0.16524216524216517</v>
      </c>
      <c r="I14" s="53">
        <v>0.20506006165621349</v>
      </c>
      <c r="J14" s="53">
        <v>0.13902611150317568</v>
      </c>
      <c r="K14" s="53">
        <v>-5.0185870768587382E-2</v>
      </c>
      <c r="L14" s="53">
        <v>1.084474977598604E-2</v>
      </c>
      <c r="M14" s="53">
        <v>5.8925332650539008E-2</v>
      </c>
      <c r="N14" s="53">
        <v>5.7210965435041672E-2</v>
      </c>
      <c r="O14" s="53">
        <v>6.9898534385569366E-2</v>
      </c>
      <c r="P14" s="53">
        <v>5.9009483667017859E-2</v>
      </c>
      <c r="Q14" s="53">
        <v>5.9701492537313383E-2</v>
      </c>
      <c r="R14" s="53">
        <v>7.6056338028168913E-2</v>
      </c>
      <c r="S14" s="53">
        <v>6.5445026178010401E-2</v>
      </c>
      <c r="T14" s="75">
        <v>7.2891072891072994E-2</v>
      </c>
      <c r="U14" s="53">
        <v>7.4045801526717581E-2</v>
      </c>
      <c r="V14" s="53">
        <v>2.9140014214641186E-2</v>
      </c>
      <c r="W14" s="53">
        <v>6.9060773480662974E-2</v>
      </c>
      <c r="X14" s="54">
        <v>0.10967718936758541</v>
      </c>
      <c r="Y14" s="54">
        <v>7.4050000000000171E-2</v>
      </c>
      <c r="Z14" s="54">
        <v>4.9590000000000023E-2</v>
      </c>
      <c r="AA14" s="54">
        <v>4.6000000000000041E-2</v>
      </c>
      <c r="AB14" s="54">
        <v>4.4999999999999929E-2</v>
      </c>
      <c r="AC14" s="53">
        <v>4.1175940630808094E-2</v>
      </c>
      <c r="AD14" s="53">
        <v>4.1087504648022577E-2</v>
      </c>
      <c r="AE14" s="53">
        <v>4.099906866523706E-2</v>
      </c>
      <c r="AF14" s="53">
        <v>4.0910632682451542E-2</v>
      </c>
      <c r="AG14" s="53">
        <v>4.0822196699666025E-2</v>
      </c>
      <c r="AH14" s="53">
        <v>4.0733760716880507E-2</v>
      </c>
      <c r="AI14" s="53">
        <v>4.064532473409499E-2</v>
      </c>
      <c r="AJ14" s="53">
        <v>4.0556888751309694E-2</v>
      </c>
      <c r="AK14" s="53">
        <v>4.0468452768523955E-2</v>
      </c>
      <c r="AL14" s="53">
        <v>4.0380016785738659E-2</v>
      </c>
      <c r="AM14" s="53">
        <v>4.029158080295292E-2</v>
      </c>
      <c r="AN14" s="53">
        <v>4.0203144820167624E-2</v>
      </c>
      <c r="AO14" s="53">
        <v>3.9719089938218266E-2</v>
      </c>
      <c r="AP14" s="53">
        <v>3.9585429183082832E-2</v>
      </c>
      <c r="AQ14" s="53">
        <v>3.9451347567917461E-2</v>
      </c>
      <c r="AR14" s="53">
        <v>3.9316737923831502E-2</v>
      </c>
      <c r="AS14" s="53">
        <v>3.9182513493871474E-2</v>
      </c>
      <c r="AT14" s="53">
        <v>3.9047998604628376E-2</v>
      </c>
      <c r="AU14" s="53">
        <v>3.8913045541575153E-2</v>
      </c>
      <c r="AV14" s="53">
        <v>3.8786689709657152E-2</v>
      </c>
      <c r="AW14" s="53">
        <v>3.8658909241047201E-2</v>
      </c>
      <c r="AX14" s="53">
        <v>3.8531693663188538E-2</v>
      </c>
      <c r="AY14" s="53">
        <v>3.8404704245913468E-2</v>
      </c>
      <c r="AZ14" s="53">
        <v>3.82772013827688E-2</v>
      </c>
      <c r="BA14" s="53">
        <v>3.8149729854999759E-2</v>
      </c>
      <c r="BB14" s="53">
        <v>3.8021388328006278E-2</v>
      </c>
      <c r="BC14" s="53">
        <v>3.7892927410463795E-2</v>
      </c>
      <c r="BD14" s="53">
        <v>3.7763963060149841E-2</v>
      </c>
      <c r="BE14" s="53">
        <v>3.7634832961451092E-2</v>
      </c>
      <c r="BF14" s="53">
        <v>3.7505248513196143E-2</v>
      </c>
      <c r="BG14" s="53">
        <v>3.7375200140722598E-2</v>
      </c>
      <c r="BH14" s="53">
        <v>3.7244830942555485E-2</v>
      </c>
      <c r="BI14" s="53">
        <v>3.7114187005808708E-2</v>
      </c>
      <c r="BJ14" s="53">
        <v>3.6983231678934469E-2</v>
      </c>
      <c r="BK14" s="53">
        <v>3.6852098808023648E-2</v>
      </c>
      <c r="BL14" s="53">
        <v>3.6722966289179926E-2</v>
      </c>
      <c r="BM14" s="53">
        <v>3.6593199117774811E-2</v>
      </c>
      <c r="BN14" s="53">
        <v>3.6462928007632511E-2</v>
      </c>
      <c r="BO14" s="53">
        <v>3.6333118214504134E-2</v>
      </c>
      <c r="BP14" s="53">
        <v>3.6203635993468541E-2</v>
      </c>
      <c r="BQ14" s="53">
        <v>3.6074701251438857E-2</v>
      </c>
      <c r="BR14" s="53">
        <v>3.5946047332736653E-2</v>
      </c>
      <c r="BS14" s="53">
        <v>3.5818533386742013E-2</v>
      </c>
      <c r="BT14" s="55">
        <v>3.5691836699502932E-2</v>
      </c>
      <c r="BU14" s="35"/>
    </row>
    <row r="15" spans="1:73" ht="15" thickBot="1" x14ac:dyDescent="0.4">
      <c r="A15" s="80" t="s">
        <v>136</v>
      </c>
      <c r="B15" s="81">
        <v>673.54562652589061</v>
      </c>
      <c r="C15" s="82">
        <v>743.5458182608362</v>
      </c>
      <c r="D15" s="82">
        <v>822.89251338949043</v>
      </c>
      <c r="E15" s="82">
        <v>920.4262906957423</v>
      </c>
      <c r="F15" s="82">
        <v>1017.7304583321618</v>
      </c>
      <c r="G15" s="82">
        <v>1174.3947460304475</v>
      </c>
      <c r="H15" s="82">
        <v>1418.6144314566743</v>
      </c>
      <c r="I15" s="82">
        <v>1770.9439813096778</v>
      </c>
      <c r="J15" s="82">
        <v>2001.5820087987165</v>
      </c>
      <c r="K15" s="82">
        <v>1780.3594197851289</v>
      </c>
      <c r="L15" s="82">
        <v>1707.9897337993857</v>
      </c>
      <c r="M15" s="82">
        <v>1810.4718213400004</v>
      </c>
      <c r="N15" s="83">
        <v>1943.18760382</v>
      </c>
      <c r="O15" s="83">
        <v>2084.7310871900004</v>
      </c>
      <c r="P15" s="83">
        <v>2245.5275348600003</v>
      </c>
      <c r="Q15" s="83">
        <v>2408.2095348299999</v>
      </c>
      <c r="R15" s="83">
        <v>2564.56873292</v>
      </c>
      <c r="S15" s="83">
        <v>2789.1092664500002</v>
      </c>
      <c r="T15" s="83">
        <v>3060.4073514699999</v>
      </c>
      <c r="U15" s="84">
        <v>3348.2746262399996</v>
      </c>
      <c r="V15" s="84">
        <v>3430.4631983500003</v>
      </c>
      <c r="W15" s="84">
        <v>3732.3232577899998</v>
      </c>
      <c r="X15" s="89">
        <v>4175</v>
      </c>
      <c r="Y15" s="89">
        <v>4480</v>
      </c>
      <c r="Z15" s="89">
        <v>4735</v>
      </c>
      <c r="AA15" s="89">
        <v>4965</v>
      </c>
      <c r="AB15" s="89">
        <v>5190</v>
      </c>
      <c r="AC15" s="84">
        <v>5393.2855207722296</v>
      </c>
      <c r="AD15" s="84">
        <v>5595.2110823517996</v>
      </c>
      <c r="AE15" s="84">
        <v>5802.5091189396126</v>
      </c>
      <c r="AF15" s="84">
        <v>6015.6195664083552</v>
      </c>
      <c r="AG15" s="84">
        <v>6238.0307170023516</v>
      </c>
      <c r="AH15" s="84">
        <v>6468.5378200840041</v>
      </c>
      <c r="AI15" s="84">
        <v>6707.4794675950079</v>
      </c>
      <c r="AJ15" s="84">
        <v>6951.8768278655134</v>
      </c>
      <c r="AK15" s="84">
        <v>7195.4959156290079</v>
      </c>
      <c r="AL15" s="84">
        <v>7442.1389645411509</v>
      </c>
      <c r="AM15" s="84">
        <v>7697.7765577496866</v>
      </c>
      <c r="AN15" s="84">
        <v>7964.8248740071012</v>
      </c>
      <c r="AO15" s="84">
        <v>8238.6595898273154</v>
      </c>
      <c r="AP15" s="84">
        <v>8521.895912714439</v>
      </c>
      <c r="AQ15" s="84">
        <v>8818.4309456977007</v>
      </c>
      <c r="AR15" s="84">
        <v>9124.1307911696313</v>
      </c>
      <c r="AS15" s="84">
        <v>9438.4277341797679</v>
      </c>
      <c r="AT15" s="84">
        <v>9756.2671929240223</v>
      </c>
      <c r="AU15" s="84">
        <v>10087.815184974343</v>
      </c>
      <c r="AV15" s="84">
        <v>10427.66815546997</v>
      </c>
      <c r="AW15" s="84">
        <v>10777.433429001096</v>
      </c>
      <c r="AX15" s="84">
        <v>11136.323558326598</v>
      </c>
      <c r="AY15" s="84">
        <v>11504.144471545404</v>
      </c>
      <c r="AZ15" s="84">
        <v>11882.137006181314</v>
      </c>
      <c r="BA15" s="84">
        <v>12270.603615952212</v>
      </c>
      <c r="BB15" s="84">
        <v>12671.533612929879</v>
      </c>
      <c r="BC15" s="84">
        <v>13085.310899669292</v>
      </c>
      <c r="BD15" s="84">
        <v>13513.617348440246</v>
      </c>
      <c r="BE15" s="84">
        <v>13957.67217233544</v>
      </c>
      <c r="BF15" s="84">
        <v>14419.105676690382</v>
      </c>
      <c r="BG15" s="84">
        <v>14899.679163342824</v>
      </c>
      <c r="BH15" s="84">
        <v>15401.292901404155</v>
      </c>
      <c r="BI15" s="84">
        <v>15925.888097385858</v>
      </c>
      <c r="BJ15" s="84">
        <v>16475.575783375611</v>
      </c>
      <c r="BK15" s="84">
        <v>17052.227382506702</v>
      </c>
      <c r="BL15" s="84">
        <v>17651.663491603227</v>
      </c>
      <c r="BM15" s="84">
        <v>18276.943854807687</v>
      </c>
      <c r="BN15" s="84">
        <v>18930.600766257405</v>
      </c>
      <c r="BO15" s="84">
        <v>19612.364365635338</v>
      </c>
      <c r="BP15" s="84">
        <v>20322.03230807728</v>
      </c>
      <c r="BQ15" s="84">
        <v>21058.917171258803</v>
      </c>
      <c r="BR15" s="84">
        <v>21823.269149156698</v>
      </c>
      <c r="BS15" s="84">
        <v>22611.668104559143</v>
      </c>
      <c r="BT15" s="85">
        <v>23421.863136605774</v>
      </c>
      <c r="BU15" s="35"/>
    </row>
    <row r="16" spans="1:73" x14ac:dyDescent="0.35">
      <c r="A16" s="86" t="s">
        <v>137</v>
      </c>
      <c r="B16" s="87"/>
      <c r="C16" s="87">
        <v>10.392791368270405</v>
      </c>
      <c r="D16" s="87">
        <v>10.671392828789926</v>
      </c>
      <c r="E16" s="87">
        <v>11.8525537320191</v>
      </c>
      <c r="F16" s="87">
        <v>10.571641490473738</v>
      </c>
      <c r="G16" s="87">
        <v>15.393495047305983</v>
      </c>
      <c r="H16" s="87">
        <v>20.795365974831693</v>
      </c>
      <c r="I16" s="87">
        <v>24.836174089334584</v>
      </c>
      <c r="J16" s="87">
        <v>13.023451330090818</v>
      </c>
      <c r="K16" s="87">
        <v>-11.052386963967475</v>
      </c>
      <c r="L16" s="87">
        <v>-4.0648919078641761</v>
      </c>
      <c r="M16" s="87">
        <v>6.0001582862354574</v>
      </c>
      <c r="N16" s="87">
        <v>7.3304528088027121</v>
      </c>
      <c r="O16" s="87">
        <v>7.2840873980334342</v>
      </c>
      <c r="P16" s="87">
        <v>7.7130546312683679</v>
      </c>
      <c r="Q16" s="87">
        <v>7.244711874804155</v>
      </c>
      <c r="R16" s="87">
        <v>6.4927572052420057</v>
      </c>
      <c r="S16" s="87">
        <v>8.7554890086466877</v>
      </c>
      <c r="T16" s="87">
        <v>9.7270511515423763</v>
      </c>
      <c r="U16" s="87">
        <v>9.4061751169081766</v>
      </c>
      <c r="V16" s="87">
        <v>2.4546544499635559</v>
      </c>
      <c r="W16" s="87">
        <v>8.7993965242125114</v>
      </c>
      <c r="X16" s="90">
        <v>11.860621699528773</v>
      </c>
      <c r="Y16" s="90">
        <v>7.3053892215568794</v>
      </c>
      <c r="Z16" s="90">
        <v>5.6919642857142794</v>
      </c>
      <c r="AA16" s="90">
        <v>4.8574445617740158</v>
      </c>
      <c r="AB16" s="90">
        <v>4.5317220543806602</v>
      </c>
      <c r="AC16" s="87">
        <v>3.9168693790410325</v>
      </c>
      <c r="AD16" s="87">
        <v>3.7440176456791319</v>
      </c>
      <c r="AE16" s="87">
        <v>3.7049189661792159</v>
      </c>
      <c r="AF16" s="87">
        <v>3.6727292124908884</v>
      </c>
      <c r="AG16" s="87">
        <v>3.6972276610701238</v>
      </c>
      <c r="AH16" s="87">
        <v>3.6951902537668335</v>
      </c>
      <c r="AI16" s="87">
        <v>3.6939050857694555</v>
      </c>
      <c r="AJ16" s="87">
        <v>3.6436542437622288</v>
      </c>
      <c r="AK16" s="87">
        <v>3.5043642716307222</v>
      </c>
      <c r="AL16" s="87">
        <v>3.4277421848912581</v>
      </c>
      <c r="AM16" s="87">
        <v>3.4350016094371272</v>
      </c>
      <c r="AN16" s="87">
        <v>3.4691617021354704</v>
      </c>
      <c r="AO16" s="87">
        <v>3.4380506809868816</v>
      </c>
      <c r="AP16" s="87">
        <v>3.437893261627778</v>
      </c>
      <c r="AQ16" s="87">
        <v>3.4796838170815914</v>
      </c>
      <c r="AR16" s="87">
        <v>3.4666013416034591</v>
      </c>
      <c r="AS16" s="87">
        <v>3.4446781858312958</v>
      </c>
      <c r="AT16" s="87">
        <v>3.3675042888049012</v>
      </c>
      <c r="AU16" s="87">
        <v>3.3983078312039616</v>
      </c>
      <c r="AV16" s="87">
        <v>3.368945249927191</v>
      </c>
      <c r="AW16" s="87">
        <v>3.3542041069618334</v>
      </c>
      <c r="AX16" s="87">
        <v>3.330014810017401</v>
      </c>
      <c r="AY16" s="87">
        <v>3.3028935563190087</v>
      </c>
      <c r="AZ16" s="87">
        <v>3.2857074732575375</v>
      </c>
      <c r="BA16" s="87">
        <v>3.2693328613262906</v>
      </c>
      <c r="BB16" s="87">
        <v>3.267402399474828</v>
      </c>
      <c r="BC16" s="87">
        <v>3.2654081137992508</v>
      </c>
      <c r="BD16" s="87">
        <v>3.2731851161578396</v>
      </c>
      <c r="BE16" s="87">
        <v>3.2859804480585453</v>
      </c>
      <c r="BF16" s="87">
        <v>3.3059488620854616</v>
      </c>
      <c r="BG16" s="87">
        <v>3.3328938522818818</v>
      </c>
      <c r="BH16" s="87">
        <v>3.3666076467970818</v>
      </c>
      <c r="BI16" s="87">
        <v>3.4061763472719608</v>
      </c>
      <c r="BJ16" s="87">
        <v>3.4515355289981065</v>
      </c>
      <c r="BK16" s="87">
        <v>3.5000391289083277</v>
      </c>
      <c r="BL16" s="87">
        <v>3.5152950734838706</v>
      </c>
      <c r="BM16" s="87">
        <v>3.5423310868230695</v>
      </c>
      <c r="BN16" s="87">
        <v>3.576401594502765</v>
      </c>
      <c r="BO16" s="87">
        <v>3.6013838535601694</v>
      </c>
      <c r="BP16" s="87">
        <v>3.6184721495660988</v>
      </c>
      <c r="BQ16" s="87">
        <v>3.6260392268377517</v>
      </c>
      <c r="BR16" s="87">
        <v>3.6295882247026512</v>
      </c>
      <c r="BS16" s="87">
        <v>3.6126528523931611</v>
      </c>
      <c r="BT16" s="87">
        <v>3.5830838675863674</v>
      </c>
      <c r="BU16" s="88"/>
    </row>
    <row r="17" spans="1:73" x14ac:dyDescent="0.35">
      <c r="A17" s="35" t="s">
        <v>138</v>
      </c>
      <c r="B17" s="35"/>
      <c r="C17" s="66"/>
      <c r="D17" s="66">
        <v>8.4</v>
      </c>
      <c r="E17" s="66">
        <v>7.4</v>
      </c>
      <c r="F17" s="66">
        <v>6.3</v>
      </c>
      <c r="G17" s="66">
        <v>6.7</v>
      </c>
      <c r="H17" s="66">
        <v>9.6999999999999993</v>
      </c>
      <c r="I17" s="66">
        <v>12.2</v>
      </c>
      <c r="J17" s="66">
        <v>21.6</v>
      </c>
      <c r="K17" s="66">
        <v>5</v>
      </c>
      <c r="L17" s="66">
        <v>0</v>
      </c>
      <c r="M17" s="66">
        <v>0</v>
      </c>
      <c r="N17" s="66">
        <v>4.4000000000000039</v>
      </c>
      <c r="O17" s="66">
        <v>5.0000000000000044</v>
      </c>
      <c r="P17" s="66">
        <v>5.8</v>
      </c>
      <c r="Q17" s="66">
        <v>6.3</v>
      </c>
      <c r="R17" s="66">
        <v>5.7</v>
      </c>
      <c r="S17" s="66">
        <v>5.0999999999999996</v>
      </c>
      <c r="T17" s="66">
        <v>7.6</v>
      </c>
      <c r="U17" s="66">
        <v>8.4</v>
      </c>
      <c r="V17" s="66">
        <v>8.0000000000000071</v>
      </c>
      <c r="W17" s="66">
        <v>1.6000000000000014</v>
      </c>
      <c r="X17" s="91">
        <v>7.8999999999999959</v>
      </c>
      <c r="Y17" s="91">
        <v>14.500000000000002</v>
      </c>
      <c r="Z17" s="91">
        <v>7.4</v>
      </c>
      <c r="AA17" s="91">
        <v>4.9000000000000004</v>
      </c>
      <c r="AB17" s="91">
        <v>4.3</v>
      </c>
      <c r="AC17" s="66">
        <v>4</v>
      </c>
      <c r="AD17" s="66">
        <v>3.5</v>
      </c>
      <c r="AE17" s="66">
        <v>3.4</v>
      </c>
      <c r="AF17" s="66">
        <v>3.4</v>
      </c>
      <c r="AG17" s="66">
        <v>3.3</v>
      </c>
      <c r="AH17" s="66">
        <v>3.4</v>
      </c>
      <c r="AI17" s="66">
        <v>3.4</v>
      </c>
      <c r="AJ17" s="66">
        <v>3.4</v>
      </c>
      <c r="AK17" s="66">
        <v>3.3</v>
      </c>
      <c r="AL17" s="66">
        <v>3.2</v>
      </c>
      <c r="AM17" s="66">
        <v>3.1</v>
      </c>
      <c r="AN17" s="66">
        <v>3.1</v>
      </c>
      <c r="AO17" s="66">
        <v>3.2</v>
      </c>
      <c r="AP17" s="66">
        <v>3.2</v>
      </c>
      <c r="AQ17" s="66">
        <v>3.2</v>
      </c>
      <c r="AR17" s="66">
        <v>3.2</v>
      </c>
      <c r="AS17" s="66">
        <v>3.2</v>
      </c>
      <c r="AT17" s="66">
        <v>3.2</v>
      </c>
      <c r="AU17" s="66">
        <v>3.1</v>
      </c>
      <c r="AV17" s="66">
        <v>3.1</v>
      </c>
      <c r="AW17" s="66">
        <v>3.1</v>
      </c>
      <c r="AX17" s="66">
        <v>3.1</v>
      </c>
      <c r="AY17" s="66">
        <v>3.1</v>
      </c>
      <c r="AZ17" s="66">
        <v>3</v>
      </c>
      <c r="BA17" s="66">
        <v>3</v>
      </c>
      <c r="BB17" s="66">
        <v>3</v>
      </c>
      <c r="BC17" s="66">
        <v>3</v>
      </c>
      <c r="BD17" s="66">
        <v>3</v>
      </c>
      <c r="BE17" s="66">
        <v>3</v>
      </c>
      <c r="BF17" s="66">
        <v>3</v>
      </c>
      <c r="BG17" s="66">
        <v>3</v>
      </c>
      <c r="BH17" s="66">
        <v>3.1</v>
      </c>
      <c r="BI17" s="66">
        <v>3.1</v>
      </c>
      <c r="BJ17" s="66">
        <v>3.1</v>
      </c>
      <c r="BK17" s="66">
        <v>3.2</v>
      </c>
      <c r="BL17" s="66">
        <v>3.2</v>
      </c>
      <c r="BM17" s="66">
        <v>3.2</v>
      </c>
      <c r="BN17" s="66">
        <v>3.2</v>
      </c>
      <c r="BO17" s="66">
        <v>3.3</v>
      </c>
      <c r="BP17" s="66">
        <v>3.3</v>
      </c>
      <c r="BQ17" s="66">
        <v>3.3</v>
      </c>
      <c r="BR17" s="66">
        <v>3.3</v>
      </c>
      <c r="BS17" s="66">
        <v>3.3</v>
      </c>
      <c r="BT17" s="66">
        <v>3.3</v>
      </c>
      <c r="BU17" s="35"/>
    </row>
    <row r="18" spans="1:73" x14ac:dyDescent="0.35">
      <c r="A18" s="35"/>
      <c r="B18" s="35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16"/>
      <c r="O18" s="66"/>
      <c r="P18" s="66"/>
      <c r="Q18" s="66"/>
      <c r="R18" s="66"/>
      <c r="S18" s="66"/>
      <c r="T18" s="66"/>
      <c r="U18" s="66"/>
      <c r="V18" s="66"/>
      <c r="W18" s="66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</row>
    <row r="19" spans="1:73" x14ac:dyDescent="0.35">
      <c r="A19" s="67" t="s">
        <v>139</v>
      </c>
      <c r="B19" s="68"/>
      <c r="C19" s="68"/>
      <c r="D19" s="68"/>
      <c r="E19" s="68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69"/>
      <c r="T19" s="69"/>
      <c r="U19" s="70"/>
      <c r="V19" s="70"/>
      <c r="W19" s="70"/>
      <c r="X19" s="70"/>
      <c r="Y19" s="70"/>
      <c r="Z19" s="70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35"/>
    </row>
    <row r="20" spans="1:73" x14ac:dyDescent="0.35">
      <c r="A20" s="67" t="s">
        <v>140</v>
      </c>
      <c r="B20" s="67"/>
      <c r="C20" s="67"/>
      <c r="D20" s="67"/>
      <c r="E20" s="67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72"/>
      <c r="T20" s="72"/>
      <c r="U20" s="72"/>
      <c r="V20" s="72"/>
      <c r="W20" s="72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35"/>
    </row>
    <row r="21" spans="1:73" x14ac:dyDescent="0.35">
      <c r="A21" s="67" t="s">
        <v>141</v>
      </c>
      <c r="B21" s="67"/>
      <c r="C21" s="67"/>
      <c r="D21" s="67"/>
      <c r="E21" s="67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</row>
    <row r="22" spans="1:73" x14ac:dyDescent="0.35">
      <c r="A22" s="67" t="s">
        <v>142</v>
      </c>
      <c r="B22" s="68"/>
      <c r="C22" s="68"/>
      <c r="D22" s="68"/>
      <c r="E22" s="68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</row>
    <row r="23" spans="1:73" x14ac:dyDescent="0.35">
      <c r="A23" s="67" t="s">
        <v>143</v>
      </c>
      <c r="B23" s="68"/>
      <c r="C23" s="68"/>
      <c r="D23" s="68"/>
      <c r="E23" s="68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</row>
    <row r="24" spans="1:73" x14ac:dyDescent="0.35">
      <c r="A24" s="67" t="s">
        <v>144</v>
      </c>
      <c r="B24" s="68"/>
      <c r="C24" s="68"/>
      <c r="D24" s="68"/>
      <c r="E24" s="68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</row>
    <row r="25" spans="1:73" x14ac:dyDescent="0.35">
      <c r="A25" s="67" t="s">
        <v>145</v>
      </c>
      <c r="B25" s="68"/>
      <c r="C25" s="68"/>
      <c r="D25" s="68"/>
      <c r="E25" s="68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</row>
    <row r="26" spans="1:73" x14ac:dyDescent="0.3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</row>
    <row r="27" spans="1:73" x14ac:dyDescent="0.35">
      <c r="A27" s="92" t="s">
        <v>146</v>
      </c>
      <c r="B27" s="92">
        <v>0.04</v>
      </c>
      <c r="C27" s="93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</row>
    <row r="28" spans="1:73" x14ac:dyDescent="0.35">
      <c r="A28" s="94" t="s">
        <v>235</v>
      </c>
      <c r="B28" s="95">
        <f>AVERAGE(Z8:AU8)</f>
        <v>1.9259090909090917E-2</v>
      </c>
      <c r="C28" s="93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</row>
    <row r="29" spans="1:73" x14ac:dyDescent="0.35">
      <c r="A29" s="94" t="s">
        <v>147</v>
      </c>
      <c r="B29" s="126">
        <f>(1+B27)*(1+B28)-1</f>
        <v>6.0029454545454497E-2</v>
      </c>
      <c r="C29" s="93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</row>
    <row r="30" spans="1:73" x14ac:dyDescent="0.35">
      <c r="A30" s="35"/>
      <c r="B30" s="93"/>
      <c r="C30" s="93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</row>
    <row r="31" spans="1:73" x14ac:dyDescent="0.35">
      <c r="A31" s="35" t="s">
        <v>236</v>
      </c>
      <c r="B31" s="151">
        <f>AVERAGE(Z14:AU14)</f>
        <v>4.1094576134499031E-2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</row>
    <row r="32" spans="1:73" x14ac:dyDescent="0.35">
      <c r="A32" s="3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</row>
    <row r="33" spans="1:1" x14ac:dyDescent="0.35">
      <c r="A33" s="35"/>
    </row>
    <row r="34" spans="1:1" x14ac:dyDescent="0.35">
      <c r="A34" s="35"/>
    </row>
    <row r="35" spans="1:1" x14ac:dyDescent="0.35">
      <c r="A35" s="35"/>
    </row>
    <row r="36" spans="1:1" x14ac:dyDescent="0.35">
      <c r="A36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Kokkuvõte</vt:lpstr>
      <vt:lpstr>Eeldused</vt:lpstr>
      <vt:lpstr>Eelarve_kool</vt:lpstr>
      <vt:lpstr>Tulud-Kulud</vt:lpstr>
      <vt:lpstr>Tasuvus_kool</vt:lpstr>
      <vt:lpstr>Tasuvus_majutus</vt:lpstr>
      <vt:lpstr>Tasuvus_kokku</vt:lpstr>
      <vt:lpstr>Sots.mõju analüüs</vt:lpstr>
      <vt:lpstr>Makro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 Tammets</dc:creator>
  <cp:lastModifiedBy>Maris Tammets</cp:lastModifiedBy>
  <dcterms:created xsi:type="dcterms:W3CDTF">2023-01-19T11:06:23Z</dcterms:created>
  <dcterms:modified xsi:type="dcterms:W3CDTF">2023-04-26T09:00:57Z</dcterms:modified>
</cp:coreProperties>
</file>